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270" windowHeight="38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/>
  <c r="F50"/>
  <c r="E50"/>
  <c r="F33"/>
  <c r="F44"/>
  <c r="F18"/>
  <c r="G50" l="1"/>
  <c r="H46"/>
  <c r="G46"/>
  <c r="F46"/>
  <c r="F42"/>
  <c r="F32"/>
  <c r="F28"/>
  <c r="G28" s="1"/>
  <c r="H28" s="1"/>
  <c r="F21"/>
  <c r="H42"/>
  <c r="G42"/>
  <c r="F41"/>
  <c r="F40"/>
  <c r="H32"/>
  <c r="G32"/>
  <c r="F31"/>
  <c r="F27"/>
  <c r="G18"/>
  <c r="H21"/>
  <c r="G21"/>
  <c r="F20"/>
  <c r="F24"/>
  <c r="F16"/>
  <c r="F14"/>
  <c r="F13"/>
  <c r="F12"/>
  <c r="F11"/>
  <c r="H18" l="1"/>
  <c r="H10" s="1"/>
  <c r="G10"/>
  <c r="F10"/>
  <c r="F25"/>
  <c r="G43"/>
  <c r="H43" s="1"/>
  <c r="H47"/>
  <c r="G47"/>
  <c r="H23"/>
  <c r="G23"/>
  <c r="F37"/>
  <c r="F38" l="1"/>
  <c r="F34"/>
  <c r="E25"/>
  <c r="E10"/>
  <c r="E30"/>
  <c r="F36"/>
  <c r="G36" s="1"/>
  <c r="G13"/>
  <c r="G45" l="1"/>
  <c r="G44" l="1"/>
  <c r="G41" l="1"/>
  <c r="G40"/>
  <c r="G38"/>
  <c r="G37" l="1"/>
  <c r="G35"/>
  <c r="G34"/>
  <c r="G33"/>
  <c r="G31" l="1"/>
  <c r="G29"/>
  <c r="G25" s="1"/>
  <c r="G27"/>
  <c r="G26"/>
  <c r="G24"/>
  <c r="G22"/>
  <c r="G20"/>
  <c r="G17" l="1"/>
  <c r="G16"/>
  <c r="G15" l="1"/>
  <c r="G14"/>
  <c r="G12"/>
  <c r="G11" l="1"/>
  <c r="F39" l="1"/>
  <c r="F49" s="1"/>
  <c r="G39"/>
  <c r="G49" s="1"/>
  <c r="F30"/>
  <c r="G30"/>
  <c r="G19" l="1"/>
  <c r="F19"/>
  <c r="E19"/>
  <c r="E49" s="1"/>
  <c r="D7" l="1"/>
  <c r="C6"/>
  <c r="E6" s="1"/>
  <c r="F6" s="1"/>
  <c r="E5"/>
  <c r="F5" s="1"/>
  <c r="E51" l="1"/>
  <c r="H13"/>
  <c r="H36"/>
  <c r="H27"/>
  <c r="H50"/>
  <c r="H38"/>
  <c r="H33"/>
  <c r="H17"/>
  <c r="H48"/>
  <c r="H44"/>
  <c r="H37"/>
  <c r="H31"/>
  <c r="H16"/>
  <c r="H45"/>
  <c r="H35"/>
  <c r="H22"/>
  <c r="H41"/>
  <c r="H40"/>
  <c r="H34"/>
  <c r="H24"/>
  <c r="H20"/>
  <c r="H11"/>
  <c r="H12"/>
  <c r="F51"/>
  <c r="F7"/>
  <c r="E7"/>
  <c r="H14"/>
  <c r="H29"/>
  <c r="H15"/>
  <c r="H26"/>
  <c r="H25" l="1"/>
  <c r="H19"/>
  <c r="H39"/>
  <c r="H49" s="1"/>
  <c r="H30"/>
  <c r="H51" l="1"/>
</calcChain>
</file>

<file path=xl/sharedStrings.xml><?xml version="1.0" encoding="utf-8"?>
<sst xmlns="http://schemas.openxmlformats.org/spreadsheetml/2006/main" count="103" uniqueCount="97">
  <si>
    <t xml:space="preserve"> Утверждена решением общего собрания членов СНТ " Штиль" от ________________________</t>
  </si>
  <si>
    <t>Статьи доходов</t>
  </si>
  <si>
    <t>Тариф, руб./кв.м.</t>
  </si>
  <si>
    <t>Площадь помещений, кв.м</t>
  </si>
  <si>
    <t>Ежемесячная сумма дохода, руб.</t>
  </si>
  <si>
    <t>Годовая сумма дохода, руб.</t>
  </si>
  <si>
    <t>ИТОГО ДОХОДОВ</t>
  </si>
  <si>
    <t>Статьи расходов (наименование работ, услуг)</t>
  </si>
  <si>
    <t>Запланировано на год</t>
  </si>
  <si>
    <t>Принято к учету тарифа с учетом переходящих остатков</t>
  </si>
  <si>
    <t>Тариф для собственников жилых и нежилых помещений</t>
  </si>
  <si>
    <t>Управление многоквартирным домом</t>
  </si>
  <si>
    <t>Банковское обслуживание</t>
  </si>
  <si>
    <t>Организация работ по предоставлению информации в электронном виде. Передача отчетности, размещение информации в ГИС ЖКХ, ведение сайта, обслуживание бухгалтерской программы, ключ электронной подписи.</t>
  </si>
  <si>
    <t>Обслуживание оргтехники, заправка катриджей, канцелярские товары, почтовые расходы, услуги связи,транспортные расходы</t>
  </si>
  <si>
    <t>Работы по содержанию общего имущества  МКД</t>
  </si>
  <si>
    <t>Дератизация, дезинсекция</t>
  </si>
  <si>
    <t xml:space="preserve">Работы по содержанию земельного участка </t>
  </si>
  <si>
    <t>Техническое обслуживание</t>
  </si>
  <si>
    <t>Аварийное обслуживание дома, диспетчерская служба, дежурный слесарь.</t>
  </si>
  <si>
    <t>Техническое обслуживание лифтов в том числе, освидетельствование лифтов</t>
  </si>
  <si>
    <t>Страхование лифтов</t>
  </si>
  <si>
    <t>Техническое обслуживание ворот, калитки, домофонной трубки</t>
  </si>
  <si>
    <t>Техническое обслуживание систем водоснабжения (холодного и горячего), отопления, водоотведения, электрооборудования.</t>
  </si>
  <si>
    <t>Техническое обслуживание систем водоснабжения. ФОТ слесаря-сентехника с налогами и отпускными.</t>
  </si>
  <si>
    <t>Техническое обслуживание системы электроснабжения. ФОТ электрика.</t>
  </si>
  <si>
    <t>Материалы для водоснабжения, электрооборудования, водоотведения.</t>
  </si>
  <si>
    <t>Тариф общий</t>
  </si>
  <si>
    <t>ОДН эл/энергия + вода+ тепловые потери от стены дома до ПУ</t>
  </si>
  <si>
    <t>Проведение текущего ремонта общего имущества МКД</t>
  </si>
  <si>
    <t xml:space="preserve">Всего общий тариф </t>
  </si>
  <si>
    <t>Площадь жилые + нежилые</t>
  </si>
  <si>
    <t>Организация работ по содержанию и ремонту общего имущества. ФОТ с налогами и отпускными:  председателя</t>
  </si>
  <si>
    <t>Организация работ по содержанию и ремонту общего имущества. ФОТ с налогами и отпускными: управляющего.</t>
  </si>
  <si>
    <t>Организация работ по содержанию и ремонту общего имущества. ФОТ с налогами и отпускными: бухгалтера</t>
  </si>
  <si>
    <t>1.</t>
  </si>
  <si>
    <t>1.1</t>
  </si>
  <si>
    <t>1.2</t>
  </si>
  <si>
    <t>1.3</t>
  </si>
  <si>
    <t>1.4</t>
  </si>
  <si>
    <t>1.5</t>
  </si>
  <si>
    <t>1.6</t>
  </si>
  <si>
    <t>1.7</t>
  </si>
  <si>
    <t>2.</t>
  </si>
  <si>
    <t xml:space="preserve"> Оплата работ и услуг по содержанию и ремонту общего имущества 
в многоквартирном доме для собственников жилых помещений</t>
  </si>
  <si>
    <t xml:space="preserve"> Оплата работ и услуг по содержанию и ремонту общего имущества 
в многоквартирном доме для собственников нежилых помещений</t>
  </si>
  <si>
    <t>2.1</t>
  </si>
  <si>
    <t>2.2</t>
  </si>
  <si>
    <t>2.3</t>
  </si>
  <si>
    <t>3.</t>
  </si>
  <si>
    <t>3.1</t>
  </si>
  <si>
    <t>3.2</t>
  </si>
  <si>
    <t>4.</t>
  </si>
  <si>
    <t>4.1</t>
  </si>
  <si>
    <t>Председатель правления ТСН "Штиль"                                              Д.А.Иванов</t>
  </si>
  <si>
    <t>4.2</t>
  </si>
  <si>
    <t>4.3</t>
  </si>
  <si>
    <t>4.4</t>
  </si>
  <si>
    <t>4.5</t>
  </si>
  <si>
    <t>4.6</t>
  </si>
  <si>
    <t>6.</t>
  </si>
  <si>
    <t>7.</t>
  </si>
  <si>
    <t>8.</t>
  </si>
  <si>
    <t>Премиальный фонд рабочих</t>
  </si>
  <si>
    <t>3.3</t>
  </si>
  <si>
    <t xml:space="preserve"> Благоустройство придомовой территории, субботник, инвентарь</t>
  </si>
  <si>
    <t>4.7</t>
  </si>
  <si>
    <t>5.</t>
  </si>
  <si>
    <t>5.1</t>
  </si>
  <si>
    <t>5.2</t>
  </si>
  <si>
    <t>5.3</t>
  </si>
  <si>
    <t>ПЛАНОВАЯ СМЕТА ДОХОДОВ ТСН "Штиль" НА  2025 год</t>
  </si>
  <si>
    <t>Неизрасходованные средства прошлых лет 2024г</t>
  </si>
  <si>
    <t>ПЛАНОВАЯ СМЕТА РАСХОДОВ НА  СОДЕРЖАНИЕ И РЕМОНТ ОБЩЕГО ИМУЩЕСТВА МКД ТСН " Штиль" В 2025 ГОДУ</t>
  </si>
  <si>
    <t>Организация работ по содержанию и ремонту общего имущества. ФОТ с налогами и отпускными: юриста</t>
  </si>
  <si>
    <t>ГИС ЖКХ</t>
  </si>
  <si>
    <t>АДС</t>
  </si>
  <si>
    <t>Обслуживаниеповысительных  насосных станций</t>
  </si>
  <si>
    <t>Обслуживание общедомовых ПУ тепловой энергии. Поверка общедомовых приборов учета приборов учета</t>
  </si>
  <si>
    <t>Мониторинг за вертикальным отклонением наружных стен 1 очереди, геодезическая съемка</t>
  </si>
  <si>
    <t>2.4</t>
  </si>
  <si>
    <t>Очистка территории от снега, озеленение</t>
  </si>
  <si>
    <t>Освещение придомовой территории</t>
  </si>
  <si>
    <t>9.</t>
  </si>
  <si>
    <t>Обслуживание  газового оборудования МКД, обслуживание систем вентиляции</t>
  </si>
  <si>
    <t>5.4</t>
  </si>
  <si>
    <t>1.8</t>
  </si>
  <si>
    <t xml:space="preserve">Отчисления во внебюджетные фонды </t>
  </si>
  <si>
    <t>2.5</t>
  </si>
  <si>
    <t>Уборка помещений, входящих в состав общего имущества. ФОТ уборщицы с  отпускными. Моющие средства и инвентарь для уборки помещений.</t>
  </si>
  <si>
    <t>Материалы для ремонта МОП и Вспомогательные средства. Моющие средства и инвентарь для уборки помещений.</t>
  </si>
  <si>
    <t>3.4</t>
  </si>
  <si>
    <t>ФОТ дворника с отпускными</t>
  </si>
  <si>
    <t>4.8</t>
  </si>
  <si>
    <t>5.5</t>
  </si>
  <si>
    <t>10.</t>
  </si>
  <si>
    <t>Материалы и оборудование</t>
  </si>
</sst>
</file>

<file path=xl/styles.xml><?xml version="1.0" encoding="utf-8"?>
<styleSheet xmlns="http://schemas.openxmlformats.org/spreadsheetml/2006/main">
  <numFmts count="1">
    <numFmt numFmtId="164" formatCode="#,##0.00_р_.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9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164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164" fontId="4" fillId="2" borderId="2" xfId="0" applyNumberFormat="1" applyFont="1" applyFill="1" applyBorder="1" applyAlignment="1">
      <alignment wrapText="1"/>
    </xf>
    <xf numFmtId="164" fontId="4" fillId="2" borderId="2" xfId="0" applyNumberFormat="1" applyFont="1" applyFill="1" applyBorder="1" applyAlignment="1">
      <alignment horizontal="left" wrapText="1"/>
    </xf>
    <xf numFmtId="164" fontId="0" fillId="0" borderId="0" xfId="0" applyNumberFormat="1"/>
    <xf numFmtId="164" fontId="5" fillId="3" borderId="2" xfId="0" applyNumberFormat="1" applyFont="1" applyFill="1" applyBorder="1" applyAlignment="1">
      <alignment wrapText="1"/>
    </xf>
    <xf numFmtId="164" fontId="5" fillId="3" borderId="2" xfId="0" applyNumberFormat="1" applyFont="1" applyFill="1" applyBorder="1" applyAlignment="1">
      <alignment horizontal="left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/>
    <xf numFmtId="0" fontId="0" fillId="0" borderId="5" xfId="0" applyBorder="1" applyAlignment="1">
      <alignment vertical="center" wrapText="1"/>
    </xf>
    <xf numFmtId="164" fontId="2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/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/>
    <xf numFmtId="0" fontId="0" fillId="0" borderId="2" xfId="0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vertical="center" wrapText="1"/>
    </xf>
    <xf numFmtId="164" fontId="8" fillId="2" borderId="2" xfId="0" applyNumberFormat="1" applyFont="1" applyFill="1" applyBorder="1" applyAlignment="1">
      <alignment horizontal="left" wrapText="1"/>
    </xf>
    <xf numFmtId="4" fontId="0" fillId="0" borderId="0" xfId="0" applyNumberFormat="1"/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0" fillId="0" borderId="1" xfId="0" applyBorder="1"/>
    <xf numFmtId="164" fontId="3" fillId="0" borderId="0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5" xfId="0" applyFont="1" applyBorder="1" applyAlignment="1">
      <alignment vertical="center" wrapText="1"/>
    </xf>
    <xf numFmtId="164" fontId="15" fillId="0" borderId="2" xfId="0" applyNumberFormat="1" applyFont="1" applyFill="1" applyBorder="1" applyAlignment="1">
      <alignment horizontal="center" wrapText="1"/>
    </xf>
    <xf numFmtId="164" fontId="18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justify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justify"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/>
    <xf numFmtId="0" fontId="2" fillId="0" borderId="1" xfId="0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3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tabSelected="1" zoomScale="95" zoomScaleNormal="95" workbookViewId="0">
      <selection activeCell="G52" sqref="G52"/>
    </sheetView>
  </sheetViews>
  <sheetFormatPr defaultRowHeight="15"/>
  <cols>
    <col min="1" max="1" width="5.7109375" customWidth="1"/>
    <col min="2" max="2" width="52.7109375" customWidth="1"/>
    <col min="3" max="3" width="9.28515625" bestFit="1" customWidth="1"/>
    <col min="5" max="5" width="11.42578125" customWidth="1"/>
    <col min="6" max="7" width="13" customWidth="1"/>
    <col min="8" max="8" width="11.28515625" customWidth="1"/>
    <col min="9" max="9" width="13.28515625" bestFit="1" customWidth="1"/>
    <col min="10" max="10" width="9.5703125" bestFit="1" customWidth="1"/>
    <col min="12" max="12" width="10.5703125" bestFit="1" customWidth="1"/>
  </cols>
  <sheetData>
    <row r="1" spans="1:10">
      <c r="B1" s="74" t="s">
        <v>0</v>
      </c>
      <c r="C1" s="75"/>
      <c r="D1" s="75"/>
      <c r="E1" s="75"/>
      <c r="F1" s="75"/>
      <c r="G1" s="75"/>
      <c r="H1" s="76"/>
    </row>
    <row r="2" spans="1:10">
      <c r="B2" s="77"/>
      <c r="C2" s="75"/>
      <c r="D2" s="75"/>
      <c r="E2" s="75"/>
      <c r="F2" s="75"/>
      <c r="G2" s="75"/>
      <c r="H2" s="76"/>
    </row>
    <row r="3" spans="1:10">
      <c r="B3" s="78" t="s">
        <v>71</v>
      </c>
      <c r="C3" s="78"/>
      <c r="D3" s="78"/>
      <c r="E3" s="78"/>
      <c r="F3" s="78"/>
      <c r="G3" s="78"/>
      <c r="H3" s="76"/>
    </row>
    <row r="4" spans="1:10" ht="36">
      <c r="A4" s="37"/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/>
      <c r="H4" s="3"/>
    </row>
    <row r="5" spans="1:10" ht="23.25" customHeight="1">
      <c r="A5" s="38" t="s">
        <v>35</v>
      </c>
      <c r="B5" s="4" t="s">
        <v>44</v>
      </c>
      <c r="C5" s="5">
        <v>29</v>
      </c>
      <c r="D5" s="5">
        <v>15548.9</v>
      </c>
      <c r="E5" s="5">
        <f>SUM(C5*D5)</f>
        <v>450918.1</v>
      </c>
      <c r="F5" s="5">
        <f>SUM(E5)*12</f>
        <v>5411017.1999999993</v>
      </c>
      <c r="G5" s="5"/>
      <c r="H5" s="3"/>
    </row>
    <row r="6" spans="1:10" ht="22.5" customHeight="1">
      <c r="A6" s="38" t="s">
        <v>43</v>
      </c>
      <c r="B6" s="4" t="s">
        <v>45</v>
      </c>
      <c r="C6" s="5">
        <f>C5</f>
        <v>29</v>
      </c>
      <c r="D6" s="5">
        <v>1518.2</v>
      </c>
      <c r="E6" s="5">
        <f>SUM(C6*D6)</f>
        <v>44027.8</v>
      </c>
      <c r="F6" s="5">
        <f>SUM(E6)*12</f>
        <v>528333.60000000009</v>
      </c>
      <c r="G6" s="5"/>
      <c r="H6" s="3"/>
      <c r="I6" s="6"/>
    </row>
    <row r="7" spans="1:10">
      <c r="A7" s="37"/>
      <c r="B7" s="7" t="s">
        <v>6</v>
      </c>
      <c r="C7" s="8"/>
      <c r="D7" s="8">
        <f>SUM(D5:D6)</f>
        <v>17067.099999999999</v>
      </c>
      <c r="E7" s="8">
        <f>SUM(E5:E6)</f>
        <v>494945.89999999997</v>
      </c>
      <c r="F7" s="8">
        <f>SUM(F5:F6)</f>
        <v>5939350.7999999989</v>
      </c>
      <c r="G7" s="8"/>
      <c r="H7" s="3"/>
    </row>
    <row r="8" spans="1:10">
      <c r="B8" s="79" t="s">
        <v>73</v>
      </c>
      <c r="C8" s="79"/>
      <c r="D8" s="79"/>
      <c r="E8" s="79"/>
      <c r="F8" s="79"/>
      <c r="G8" s="79"/>
      <c r="H8" s="3"/>
    </row>
    <row r="9" spans="1:10" ht="60.75">
      <c r="A9" s="37"/>
      <c r="B9" s="80" t="s">
        <v>7</v>
      </c>
      <c r="C9" s="79"/>
      <c r="D9" s="79"/>
      <c r="E9" s="43" t="s">
        <v>72</v>
      </c>
      <c r="F9" s="9" t="s">
        <v>8</v>
      </c>
      <c r="G9" s="9" t="s">
        <v>9</v>
      </c>
      <c r="H9" s="10" t="s">
        <v>10</v>
      </c>
    </row>
    <row r="10" spans="1:10">
      <c r="A10" s="40" t="s">
        <v>35</v>
      </c>
      <c r="B10" s="81" t="s">
        <v>11</v>
      </c>
      <c r="C10" s="82"/>
      <c r="D10" s="83"/>
      <c r="E10" s="11">
        <f>E11+E12+E14+E15+E16+E17+E13</f>
        <v>0</v>
      </c>
      <c r="F10" s="11">
        <f>SUM(F11:F18)</f>
        <v>1763480.7599999998</v>
      </c>
      <c r="G10" s="11">
        <f>SUM(G11:G18)</f>
        <v>1763480.7599999998</v>
      </c>
      <c r="H10" s="34">
        <f>SUM(H11:H18)</f>
        <v>8.6105272717684898</v>
      </c>
    </row>
    <row r="11" spans="1:10" ht="27" customHeight="1">
      <c r="A11" s="39" t="s">
        <v>36</v>
      </c>
      <c r="B11" s="84" t="s">
        <v>32</v>
      </c>
      <c r="C11" s="52"/>
      <c r="D11" s="53"/>
      <c r="E11" s="33"/>
      <c r="F11" s="21">
        <f>22440*1.15*12</f>
        <v>309671.99999999994</v>
      </c>
      <c r="G11" s="21">
        <f t="shared" ref="G11:G18" si="0">SUM(F11-E11)</f>
        <v>309671.99999999994</v>
      </c>
      <c r="H11" s="15">
        <f>G11/D7/12</f>
        <v>1.5120319210645041</v>
      </c>
    </row>
    <row r="12" spans="1:10" ht="27" customHeight="1">
      <c r="A12" s="39" t="s">
        <v>37</v>
      </c>
      <c r="B12" s="84" t="s">
        <v>33</v>
      </c>
      <c r="C12" s="52"/>
      <c r="D12" s="53"/>
      <c r="E12" s="33"/>
      <c r="F12" s="21">
        <f>25440*1.15*12</f>
        <v>351071.99999999994</v>
      </c>
      <c r="G12" s="21">
        <f t="shared" si="0"/>
        <v>351071.99999999994</v>
      </c>
      <c r="H12" s="15">
        <f>G12/D7/12</f>
        <v>1.7141752260196517</v>
      </c>
    </row>
    <row r="13" spans="1:10" ht="27" customHeight="1">
      <c r="A13" s="39" t="s">
        <v>38</v>
      </c>
      <c r="B13" s="84" t="s">
        <v>74</v>
      </c>
      <c r="C13" s="52"/>
      <c r="D13" s="53"/>
      <c r="E13" s="33"/>
      <c r="F13" s="21">
        <f>11220*1.15*12</f>
        <v>154835.99999999997</v>
      </c>
      <c r="G13" s="21">
        <f t="shared" si="0"/>
        <v>154835.99999999997</v>
      </c>
      <c r="H13" s="15">
        <f>G13/D7/12</f>
        <v>0.75601596053225206</v>
      </c>
    </row>
    <row r="14" spans="1:10" ht="31.5" customHeight="1">
      <c r="A14" s="39" t="s">
        <v>39</v>
      </c>
      <c r="B14" s="84" t="s">
        <v>34</v>
      </c>
      <c r="C14" s="52"/>
      <c r="D14" s="53"/>
      <c r="E14" s="13">
        <v>0</v>
      </c>
      <c r="F14" s="14">
        <f>27000*1.15*12</f>
        <v>372599.99999999994</v>
      </c>
      <c r="G14" s="21">
        <f t="shared" si="0"/>
        <v>372599.99999999994</v>
      </c>
      <c r="H14" s="15">
        <f>G14/D7/12</f>
        <v>1.8192897445963283</v>
      </c>
    </row>
    <row r="15" spans="1:10" ht="14.25" customHeight="1">
      <c r="A15" s="39" t="s">
        <v>40</v>
      </c>
      <c r="B15" s="85" t="s">
        <v>12</v>
      </c>
      <c r="C15" s="86"/>
      <c r="D15" s="87"/>
      <c r="E15" s="16">
        <v>0</v>
      </c>
      <c r="F15" s="14">
        <v>90000</v>
      </c>
      <c r="G15" s="2">
        <f t="shared" si="0"/>
        <v>90000</v>
      </c>
      <c r="H15" s="15">
        <f>G15/D7/12</f>
        <v>0.43944196729379925</v>
      </c>
    </row>
    <row r="16" spans="1:10" ht="42" customHeight="1">
      <c r="A16" s="39" t="s">
        <v>41</v>
      </c>
      <c r="B16" s="88" t="s">
        <v>13</v>
      </c>
      <c r="C16" s="62"/>
      <c r="D16" s="62"/>
      <c r="E16" s="17">
        <v>0</v>
      </c>
      <c r="F16" s="48">
        <f>55200+21600+8000</f>
        <v>84800</v>
      </c>
      <c r="G16" s="21">
        <f t="shared" si="0"/>
        <v>84800</v>
      </c>
      <c r="H16" s="15">
        <f>G16/D7/12</f>
        <v>0.4140519869612686</v>
      </c>
      <c r="I16">
        <v>1800</v>
      </c>
      <c r="J16" t="s">
        <v>75</v>
      </c>
    </row>
    <row r="17" spans="1:10" ht="32.25" customHeight="1">
      <c r="A17" s="39" t="s">
        <v>42</v>
      </c>
      <c r="B17" s="89" t="s">
        <v>14</v>
      </c>
      <c r="C17" s="60"/>
      <c r="D17" s="60"/>
      <c r="E17" s="27">
        <v>0</v>
      </c>
      <c r="F17" s="14">
        <v>25000</v>
      </c>
      <c r="G17" s="21">
        <f t="shared" si="0"/>
        <v>25000</v>
      </c>
      <c r="H17" s="15">
        <f>G17/D7/12</f>
        <v>0.12206721313716645</v>
      </c>
    </row>
    <row r="18" spans="1:10" ht="21.75" customHeight="1">
      <c r="A18" s="39" t="s">
        <v>86</v>
      </c>
      <c r="B18" s="51" t="s">
        <v>87</v>
      </c>
      <c r="C18" s="52"/>
      <c r="D18" s="53"/>
      <c r="E18" s="27"/>
      <c r="F18" s="14">
        <f>(22440+25440+27000+11220+4000)*1.15*12*0.302</f>
        <v>375500.75999999989</v>
      </c>
      <c r="G18" s="21">
        <f t="shared" si="0"/>
        <v>375500.75999999989</v>
      </c>
      <c r="H18" s="15">
        <f>G18/D7/12</f>
        <v>1.833453252163519</v>
      </c>
    </row>
    <row r="19" spans="1:10" ht="18" customHeight="1">
      <c r="A19" s="40">
        <v>2</v>
      </c>
      <c r="B19" s="90" t="s">
        <v>15</v>
      </c>
      <c r="C19" s="60"/>
      <c r="D19" s="60"/>
      <c r="E19" s="18">
        <f>SUM(E20:E24)</f>
        <v>0</v>
      </c>
      <c r="F19" s="18">
        <f>SUM(F20:F24)</f>
        <v>565157.59999999986</v>
      </c>
      <c r="G19" s="18">
        <f>SUM(G20:G24)</f>
        <v>565157.59999999986</v>
      </c>
      <c r="H19" s="29">
        <f>SUM(H20:H24)</f>
        <v>2.7594885286115778</v>
      </c>
    </row>
    <row r="20" spans="1:10" ht="27.75" customHeight="1">
      <c r="A20" s="39" t="s">
        <v>46</v>
      </c>
      <c r="B20" s="61" t="s">
        <v>89</v>
      </c>
      <c r="C20" s="62"/>
      <c r="D20" s="62"/>
      <c r="E20" s="17">
        <v>0</v>
      </c>
      <c r="F20" s="14">
        <f>24000*1.15*13</f>
        <v>358799.99999999994</v>
      </c>
      <c r="G20" s="21">
        <f>SUM(F20-E20)</f>
        <v>358799.99999999994</v>
      </c>
      <c r="H20" s="15">
        <f>G20/D7/12</f>
        <v>1.7519086429446125</v>
      </c>
    </row>
    <row r="21" spans="1:10" ht="21" customHeight="1">
      <c r="A21" s="39" t="s">
        <v>47</v>
      </c>
      <c r="B21" s="51" t="s">
        <v>87</v>
      </c>
      <c r="C21" s="52"/>
      <c r="D21" s="53"/>
      <c r="E21" s="49"/>
      <c r="F21" s="14">
        <f>(24000*1.15)*13*0.302</f>
        <v>108357.59999999998</v>
      </c>
      <c r="G21" s="21">
        <f>SUM(F21-E21)</f>
        <v>108357.59999999998</v>
      </c>
      <c r="H21" s="15">
        <f>G21/D7/12</f>
        <v>0.52907641016927298</v>
      </c>
    </row>
    <row r="22" spans="1:10">
      <c r="A22" s="39" t="s">
        <v>48</v>
      </c>
      <c r="B22" s="64" t="s">
        <v>16</v>
      </c>
      <c r="C22" s="65"/>
      <c r="D22" s="65"/>
      <c r="E22" s="28">
        <v>0</v>
      </c>
      <c r="F22" s="14">
        <v>3000</v>
      </c>
      <c r="G22" s="21">
        <f>SUM(F22-E22)</f>
        <v>3000</v>
      </c>
      <c r="H22" s="15">
        <f>G22/D7/12</f>
        <v>1.4648065576459974E-2</v>
      </c>
    </row>
    <row r="23" spans="1:10" ht="36.75" customHeight="1">
      <c r="A23" s="39" t="s">
        <v>80</v>
      </c>
      <c r="B23" s="71" t="s">
        <v>79</v>
      </c>
      <c r="C23" s="72"/>
      <c r="D23" s="73"/>
      <c r="E23" s="28"/>
      <c r="F23" s="14">
        <v>80000</v>
      </c>
      <c r="G23" s="21">
        <f>SUM(F23-E23)</f>
        <v>80000</v>
      </c>
      <c r="H23" s="15">
        <f>G23/D7/12</f>
        <v>0.39061508203893264</v>
      </c>
    </row>
    <row r="24" spans="1:10" ht="31.5" customHeight="1">
      <c r="A24" s="39" t="s">
        <v>88</v>
      </c>
      <c r="B24" s="64" t="s">
        <v>90</v>
      </c>
      <c r="C24" s="65"/>
      <c r="D24" s="65"/>
      <c r="E24" s="28">
        <v>0</v>
      </c>
      <c r="F24" s="14">
        <f>5000+10000</f>
        <v>15000</v>
      </c>
      <c r="G24" s="21">
        <f>SUM(F24-E24)</f>
        <v>15000</v>
      </c>
      <c r="H24" s="15">
        <f>G24/D7/12</f>
        <v>7.3240327882299866E-2</v>
      </c>
    </row>
    <row r="25" spans="1:10">
      <c r="A25" s="40" t="s">
        <v>49</v>
      </c>
      <c r="B25" s="59" t="s">
        <v>17</v>
      </c>
      <c r="C25" s="60"/>
      <c r="D25" s="60"/>
      <c r="E25" s="18">
        <f>E26+E27+E29</f>
        <v>0</v>
      </c>
      <c r="F25" s="18">
        <f>SUM(F26:F29)</f>
        <v>1077245</v>
      </c>
      <c r="G25" s="18">
        <f>SUM(G26:G29)</f>
        <v>1077245</v>
      </c>
      <c r="H25" s="29">
        <f>SUM(H26:H29)</f>
        <v>5.2598518006378736</v>
      </c>
    </row>
    <row r="26" spans="1:10" ht="22.5" customHeight="1">
      <c r="A26" s="39" t="s">
        <v>50</v>
      </c>
      <c r="B26" s="63" t="s">
        <v>65</v>
      </c>
      <c r="C26" s="60"/>
      <c r="D26" s="60"/>
      <c r="E26" s="27">
        <v>0</v>
      </c>
      <c r="F26" s="14">
        <v>29000</v>
      </c>
      <c r="G26" s="21">
        <f t="shared" ref="G26:G47" si="1">SUM(F26-E26)</f>
        <v>29000</v>
      </c>
      <c r="H26" s="15">
        <f>G26/D7/12</f>
        <v>0.14159796723911308</v>
      </c>
    </row>
    <row r="27" spans="1:10" ht="18" customHeight="1">
      <c r="A27" s="39" t="s">
        <v>51</v>
      </c>
      <c r="B27" s="64" t="s">
        <v>92</v>
      </c>
      <c r="C27" s="65"/>
      <c r="D27" s="65"/>
      <c r="E27" s="27"/>
      <c r="F27" s="14">
        <f>50000*1.15*13</f>
        <v>747499.99999999988</v>
      </c>
      <c r="G27" s="21">
        <f t="shared" si="1"/>
        <v>747499.99999999988</v>
      </c>
      <c r="H27" s="15">
        <f>G27/D7/12</f>
        <v>3.6498096728012759</v>
      </c>
    </row>
    <row r="28" spans="1:10" ht="18" customHeight="1">
      <c r="A28" s="39" t="s">
        <v>64</v>
      </c>
      <c r="B28" s="51" t="s">
        <v>87</v>
      </c>
      <c r="C28" s="52"/>
      <c r="D28" s="53"/>
      <c r="E28" s="27"/>
      <c r="F28" s="14">
        <f>50000*1.15*13*0.302</f>
        <v>225744.99999999997</v>
      </c>
      <c r="G28" s="21">
        <f t="shared" si="1"/>
        <v>225744.99999999997</v>
      </c>
      <c r="H28" s="15">
        <f>G28/D7/12</f>
        <v>1.1022425211859854</v>
      </c>
    </row>
    <row r="29" spans="1:10">
      <c r="A29" s="39" t="s">
        <v>91</v>
      </c>
      <c r="B29" s="64" t="s">
        <v>81</v>
      </c>
      <c r="C29" s="65"/>
      <c r="D29" s="65"/>
      <c r="E29" s="20">
        <v>0</v>
      </c>
      <c r="F29" s="21">
        <v>75000</v>
      </c>
      <c r="G29" s="21">
        <f t="shared" si="1"/>
        <v>75000</v>
      </c>
      <c r="H29" s="12">
        <f>G29/D7/12</f>
        <v>0.36620163941149936</v>
      </c>
    </row>
    <row r="30" spans="1:10">
      <c r="A30" s="40" t="s">
        <v>52</v>
      </c>
      <c r="B30" s="59" t="s">
        <v>18</v>
      </c>
      <c r="C30" s="60"/>
      <c r="D30" s="60"/>
      <c r="E30" s="18">
        <f>SUM(E31:E38)</f>
        <v>0</v>
      </c>
      <c r="F30" s="18">
        <f>SUM(F31:F38)</f>
        <v>858170.08899999992</v>
      </c>
      <c r="G30" s="18">
        <f>SUM(G31:G38)</f>
        <v>858170.08899999992</v>
      </c>
      <c r="H30" s="29">
        <f>SUM(H31:H38)</f>
        <v>4.1901772464761642</v>
      </c>
    </row>
    <row r="31" spans="1:10" ht="30.75" customHeight="1">
      <c r="A31" s="39" t="s">
        <v>53</v>
      </c>
      <c r="B31" s="63" t="s">
        <v>19</v>
      </c>
      <c r="C31" s="60"/>
      <c r="D31" s="60"/>
      <c r="E31" s="17">
        <v>0</v>
      </c>
      <c r="F31" s="47">
        <f>5610*1.15*13+1579*12</f>
        <v>102817.49999999999</v>
      </c>
      <c r="G31" s="21">
        <f t="shared" si="1"/>
        <v>102817.49999999999</v>
      </c>
      <c r="H31" s="15">
        <f>G31/D7/12</f>
        <v>0.50202582746922442</v>
      </c>
      <c r="I31">
        <v>1579</v>
      </c>
      <c r="J31" t="s">
        <v>76</v>
      </c>
    </row>
    <row r="32" spans="1:10" ht="18.75" customHeight="1">
      <c r="A32" s="39" t="s">
        <v>55</v>
      </c>
      <c r="B32" s="51" t="s">
        <v>87</v>
      </c>
      <c r="C32" s="52"/>
      <c r="D32" s="53"/>
      <c r="E32" s="49"/>
      <c r="F32" s="47">
        <f>5610*1.15*13*0.302</f>
        <v>25328.588999999996</v>
      </c>
      <c r="G32" s="21">
        <f t="shared" si="1"/>
        <v>25328.588999999996</v>
      </c>
      <c r="H32" s="15">
        <f>G32/D7/12</f>
        <v>0.12367161087706757</v>
      </c>
    </row>
    <row r="33" spans="1:8" ht="17.25" customHeight="1">
      <c r="A33" s="39" t="s">
        <v>56</v>
      </c>
      <c r="B33" s="69" t="s">
        <v>84</v>
      </c>
      <c r="C33" s="70"/>
      <c r="D33" s="70"/>
      <c r="E33" s="17">
        <v>0</v>
      </c>
      <c r="F33" s="47">
        <f>7000*12-10240</f>
        <v>73760</v>
      </c>
      <c r="G33" s="21">
        <f t="shared" si="1"/>
        <v>73760</v>
      </c>
      <c r="H33" s="15">
        <f>G33/D7/12</f>
        <v>0.36014710563989588</v>
      </c>
    </row>
    <row r="34" spans="1:8" ht="30" customHeight="1">
      <c r="A34" s="39" t="s">
        <v>57</v>
      </c>
      <c r="B34" s="64" t="s">
        <v>20</v>
      </c>
      <c r="C34" s="65"/>
      <c r="D34" s="65"/>
      <c r="E34" s="20">
        <v>0</v>
      </c>
      <c r="F34" s="47">
        <f>29557*12+7000</f>
        <v>361684</v>
      </c>
      <c r="G34" s="21">
        <f t="shared" si="1"/>
        <v>361684</v>
      </c>
      <c r="H34" s="15">
        <f>G34/D7/12</f>
        <v>1.7659903166521165</v>
      </c>
    </row>
    <row r="35" spans="1:8">
      <c r="A35" s="39" t="s">
        <v>58</v>
      </c>
      <c r="B35" s="63" t="s">
        <v>21</v>
      </c>
      <c r="C35" s="60"/>
      <c r="D35" s="60"/>
      <c r="E35" s="27">
        <v>0</v>
      </c>
      <c r="F35" s="21">
        <v>4000</v>
      </c>
      <c r="G35" s="21">
        <f t="shared" si="1"/>
        <v>4000</v>
      </c>
      <c r="H35" s="15">
        <f>G35/D7/12</f>
        <v>1.9530754101946633E-2</v>
      </c>
    </row>
    <row r="36" spans="1:8" ht="15.75" customHeight="1">
      <c r="A36" s="39" t="s">
        <v>59</v>
      </c>
      <c r="B36" s="63" t="s">
        <v>77</v>
      </c>
      <c r="C36" s="60"/>
      <c r="D36" s="60"/>
      <c r="E36" s="27"/>
      <c r="F36" s="21">
        <f>7000*12</f>
        <v>84000</v>
      </c>
      <c r="G36" s="21">
        <f t="shared" si="1"/>
        <v>84000</v>
      </c>
      <c r="H36" s="15">
        <f>G36/D7/12</f>
        <v>0.41014583614087924</v>
      </c>
    </row>
    <row r="37" spans="1:8" ht="28.5" customHeight="1">
      <c r="A37" s="39" t="s">
        <v>66</v>
      </c>
      <c r="B37" s="63" t="s">
        <v>78</v>
      </c>
      <c r="C37" s="60"/>
      <c r="D37" s="60"/>
      <c r="E37" s="27">
        <v>0</v>
      </c>
      <c r="F37" s="21">
        <f>8000*12+44000</f>
        <v>140000</v>
      </c>
      <c r="G37" s="21">
        <f t="shared" si="1"/>
        <v>140000</v>
      </c>
      <c r="H37" s="15">
        <f>G37/D7/12</f>
        <v>0.68357639356813216</v>
      </c>
    </row>
    <row r="38" spans="1:8">
      <c r="A38" s="39" t="s">
        <v>93</v>
      </c>
      <c r="B38" s="64" t="s">
        <v>22</v>
      </c>
      <c r="C38" s="65"/>
      <c r="D38" s="65"/>
      <c r="E38" s="44">
        <v>0</v>
      </c>
      <c r="F38" s="47">
        <f>3715*12+22000</f>
        <v>66580</v>
      </c>
      <c r="G38" s="21">
        <f t="shared" si="1"/>
        <v>66580</v>
      </c>
      <c r="H38" s="15">
        <f>G38/D7/12</f>
        <v>0.32508940202690167</v>
      </c>
    </row>
    <row r="39" spans="1:8" ht="36" customHeight="1">
      <c r="A39" s="40" t="s">
        <v>67</v>
      </c>
      <c r="B39" s="59" t="s">
        <v>23</v>
      </c>
      <c r="C39" s="60"/>
      <c r="D39" s="60"/>
      <c r="E39" s="29">
        <v>0</v>
      </c>
      <c r="F39" s="18">
        <f>SUM(F40:F44)</f>
        <v>443234.17799999996</v>
      </c>
      <c r="G39" s="18">
        <f>SUM(G40:G44)</f>
        <v>443234.17799999996</v>
      </c>
      <c r="H39" s="29">
        <f>SUM(H40:H44)</f>
        <v>2.1641744350241106</v>
      </c>
    </row>
    <row r="40" spans="1:8" ht="27" customHeight="1">
      <c r="A40" s="39" t="s">
        <v>68</v>
      </c>
      <c r="B40" s="61" t="s">
        <v>24</v>
      </c>
      <c r="C40" s="62"/>
      <c r="D40" s="62"/>
      <c r="E40" s="17">
        <v>0</v>
      </c>
      <c r="F40" s="14">
        <f>11220*1.15*13</f>
        <v>167738.99999999997</v>
      </c>
      <c r="G40" s="21">
        <f t="shared" si="1"/>
        <v>167738.99999999997</v>
      </c>
      <c r="H40" s="15">
        <f>G40/D7/12</f>
        <v>0.81901729057660644</v>
      </c>
    </row>
    <row r="41" spans="1:8" ht="18.75" customHeight="1">
      <c r="A41" s="39" t="s">
        <v>69</v>
      </c>
      <c r="B41" s="63" t="s">
        <v>25</v>
      </c>
      <c r="C41" s="60"/>
      <c r="D41" s="60"/>
      <c r="E41" s="17">
        <v>0</v>
      </c>
      <c r="F41" s="21">
        <f>5000*1.15*12</f>
        <v>69000</v>
      </c>
      <c r="G41" s="21">
        <f t="shared" si="1"/>
        <v>69000</v>
      </c>
      <c r="H41" s="12">
        <f>G41/D7/12</f>
        <v>0.3369055082585794</v>
      </c>
    </row>
    <row r="42" spans="1:8" ht="18.75" customHeight="1">
      <c r="A42" s="39" t="s">
        <v>70</v>
      </c>
      <c r="B42" s="51" t="s">
        <v>87</v>
      </c>
      <c r="C42" s="52"/>
      <c r="D42" s="53"/>
      <c r="E42" s="49"/>
      <c r="F42" s="21">
        <f>(11220*1.15*13)*0.302+(5000*1.15*12)*0.302</f>
        <v>71495.177999999985</v>
      </c>
      <c r="G42" s="21">
        <f t="shared" si="1"/>
        <v>71495.177999999985</v>
      </c>
      <c r="H42" s="12">
        <f>G42/D7/12</f>
        <v>0.34908868524822606</v>
      </c>
    </row>
    <row r="43" spans="1:8" ht="18.75" customHeight="1">
      <c r="A43" s="39" t="s">
        <v>85</v>
      </c>
      <c r="B43" s="64" t="s">
        <v>96</v>
      </c>
      <c r="C43" s="65"/>
      <c r="D43" s="65"/>
      <c r="E43" s="45"/>
      <c r="F43" s="21">
        <v>100000</v>
      </c>
      <c r="G43" s="21">
        <f t="shared" si="1"/>
        <v>100000</v>
      </c>
      <c r="H43" s="12">
        <f>G43/D7/12</f>
        <v>0.48826885254866581</v>
      </c>
    </row>
    <row r="44" spans="1:8">
      <c r="A44" s="39" t="s">
        <v>94</v>
      </c>
      <c r="B44" s="64" t="s">
        <v>26</v>
      </c>
      <c r="C44" s="65"/>
      <c r="D44" s="65"/>
      <c r="E44" s="20">
        <v>0</v>
      </c>
      <c r="F44" s="14">
        <f>35000</f>
        <v>35000</v>
      </c>
      <c r="G44" s="21">
        <f t="shared" si="1"/>
        <v>35000</v>
      </c>
      <c r="H44" s="15">
        <f>G44/D7/12</f>
        <v>0.17089409839203304</v>
      </c>
    </row>
    <row r="45" spans="1:8">
      <c r="A45" s="40" t="s">
        <v>60</v>
      </c>
      <c r="B45" s="66" t="s">
        <v>63</v>
      </c>
      <c r="C45" s="67"/>
      <c r="D45" s="68"/>
      <c r="E45" s="22">
        <v>0</v>
      </c>
      <c r="F45" s="18">
        <v>138000</v>
      </c>
      <c r="G45" s="23">
        <f t="shared" si="1"/>
        <v>138000</v>
      </c>
      <c r="H45" s="19">
        <f>G45/D7/12</f>
        <v>0.6738110165171588</v>
      </c>
    </row>
    <row r="46" spans="1:8">
      <c r="A46" s="40" t="s">
        <v>61</v>
      </c>
      <c r="B46" s="54" t="s">
        <v>87</v>
      </c>
      <c r="C46" s="55"/>
      <c r="D46" s="56"/>
      <c r="E46" s="50"/>
      <c r="F46" s="18">
        <f>138000*0.302</f>
        <v>41676</v>
      </c>
      <c r="G46" s="23">
        <f t="shared" si="1"/>
        <v>41676</v>
      </c>
      <c r="H46" s="19">
        <f>G46/D7/12</f>
        <v>0.20349092698818194</v>
      </c>
    </row>
    <row r="47" spans="1:8">
      <c r="A47" s="40" t="s">
        <v>62</v>
      </c>
      <c r="B47" s="59" t="s">
        <v>82</v>
      </c>
      <c r="C47" s="60"/>
      <c r="D47" s="60"/>
      <c r="E47" s="46"/>
      <c r="F47" s="18">
        <v>100000</v>
      </c>
      <c r="G47" s="23">
        <f t="shared" si="1"/>
        <v>100000</v>
      </c>
      <c r="H47" s="19">
        <f>G47/D7/12</f>
        <v>0.48826885254866581</v>
      </c>
    </row>
    <row r="48" spans="1:8">
      <c r="A48" s="40" t="s">
        <v>83</v>
      </c>
      <c r="B48" s="59" t="s">
        <v>29</v>
      </c>
      <c r="C48" s="60"/>
      <c r="D48" s="60"/>
      <c r="E48" s="42">
        <v>100000</v>
      </c>
      <c r="F48" s="18">
        <v>200000</v>
      </c>
      <c r="G48" s="23">
        <v>100000</v>
      </c>
      <c r="H48" s="19">
        <f>G48/D7/12</f>
        <v>0.48826885254866581</v>
      </c>
    </row>
    <row r="49" spans="1:12">
      <c r="A49" s="38"/>
      <c r="B49" s="66" t="s">
        <v>27</v>
      </c>
      <c r="C49" s="67"/>
      <c r="D49" s="68"/>
      <c r="E49" s="18">
        <f>E10+E19+E25+E30+E39+E45+E48</f>
        <v>100000</v>
      </c>
      <c r="F49" s="18">
        <f>F10+F19+F25+F30+F39+F45+F46+F47+F48</f>
        <v>5186963.6269999994</v>
      </c>
      <c r="G49" s="18">
        <f>G10+G19+G25+G30+G39+G45+G46+G47+G48</f>
        <v>5086963.6269999994</v>
      </c>
      <c r="H49" s="29">
        <f>H10+H19+H25+H30+H39+H45+H46+H47+H48</f>
        <v>24.838058931120887</v>
      </c>
      <c r="I49" s="35"/>
      <c r="J49" s="36"/>
      <c r="L49" s="32"/>
    </row>
    <row r="50" spans="1:12">
      <c r="A50" s="40" t="s">
        <v>95</v>
      </c>
      <c r="B50" s="59" t="s">
        <v>28</v>
      </c>
      <c r="C50" s="60"/>
      <c r="D50" s="60"/>
      <c r="E50" s="41">
        <f>247522+34500</f>
        <v>282022</v>
      </c>
      <c r="F50" s="23">
        <f>1100000+34500</f>
        <v>1134500</v>
      </c>
      <c r="G50" s="23">
        <f>SUM(F50-E50)</f>
        <v>852478</v>
      </c>
      <c r="H50" s="12">
        <f>G50/D7/12</f>
        <v>4.1623845488298157</v>
      </c>
    </row>
    <row r="51" spans="1:12">
      <c r="A51" s="37"/>
      <c r="B51" s="58" t="s">
        <v>30</v>
      </c>
      <c r="C51" s="58"/>
      <c r="D51" s="58"/>
      <c r="E51" s="1">
        <f>E49+E50</f>
        <v>382022</v>
      </c>
      <c r="F51" s="26">
        <f t="shared" ref="F51:H51" si="2">F49+F50</f>
        <v>6321463.6269999994</v>
      </c>
      <c r="G51" s="26">
        <f>G49+G50-90.83</f>
        <v>5939350.7969999993</v>
      </c>
      <c r="H51" s="30">
        <f t="shared" si="2"/>
        <v>29.000443479950704</v>
      </c>
    </row>
    <row r="52" spans="1:12">
      <c r="A52" s="37"/>
      <c r="B52" s="24" t="s">
        <v>31</v>
      </c>
      <c r="C52" s="31">
        <v>15548.9</v>
      </c>
      <c r="D52" s="25">
        <v>1518.2</v>
      </c>
      <c r="E52" s="25"/>
      <c r="F52" s="9"/>
      <c r="G52" s="14"/>
      <c r="H52" s="15"/>
    </row>
    <row r="53" spans="1:12">
      <c r="A53" s="37"/>
      <c r="B53" s="58"/>
      <c r="C53" s="58"/>
      <c r="D53" s="58"/>
      <c r="E53" s="25"/>
      <c r="F53" s="9"/>
      <c r="G53" s="9"/>
      <c r="H53" s="15"/>
    </row>
    <row r="54" spans="1:12" ht="18.75">
      <c r="B54" s="57" t="s">
        <v>54</v>
      </c>
      <c r="C54" s="57"/>
      <c r="D54" s="57"/>
      <c r="E54" s="57"/>
      <c r="F54" s="57"/>
      <c r="G54" s="57"/>
      <c r="H54" s="57"/>
    </row>
    <row r="62" spans="1:12">
      <c r="I62">
        <v>1</v>
      </c>
    </row>
  </sheetData>
  <mergeCells count="48">
    <mergeCell ref="B12:D12"/>
    <mergeCell ref="B11:D11"/>
    <mergeCell ref="B13:D13"/>
    <mergeCell ref="B18:D18"/>
    <mergeCell ref="B14:D14"/>
    <mergeCell ref="B15:D15"/>
    <mergeCell ref="B16:D16"/>
    <mergeCell ref="B17:D17"/>
    <mergeCell ref="B19:D19"/>
    <mergeCell ref="B1:H2"/>
    <mergeCell ref="B3:H3"/>
    <mergeCell ref="B8:G8"/>
    <mergeCell ref="B9:D9"/>
    <mergeCell ref="B10:D10"/>
    <mergeCell ref="B37:D37"/>
    <mergeCell ref="B27:D27"/>
    <mergeCell ref="B36:D36"/>
    <mergeCell ref="B23:D23"/>
    <mergeCell ref="B20:D20"/>
    <mergeCell ref="B54:H54"/>
    <mergeCell ref="B53:D53"/>
    <mergeCell ref="B39:D39"/>
    <mergeCell ref="B40:D40"/>
    <mergeCell ref="B41:D41"/>
    <mergeCell ref="B44:D44"/>
    <mergeCell ref="B45:D45"/>
    <mergeCell ref="B49:D49"/>
    <mergeCell ref="B50:D50"/>
    <mergeCell ref="B51:D51"/>
    <mergeCell ref="B48:D48"/>
    <mergeCell ref="B47:D47"/>
    <mergeCell ref="B43:D43"/>
    <mergeCell ref="B21:D21"/>
    <mergeCell ref="B28:D28"/>
    <mergeCell ref="B32:D32"/>
    <mergeCell ref="B42:D42"/>
    <mergeCell ref="B46:D46"/>
    <mergeCell ref="B38:D38"/>
    <mergeCell ref="B22:D22"/>
    <mergeCell ref="B24:D24"/>
    <mergeCell ref="B25:D25"/>
    <mergeCell ref="B26:D26"/>
    <mergeCell ref="B29:D29"/>
    <mergeCell ref="B30:D30"/>
    <mergeCell ref="B31:D31"/>
    <mergeCell ref="B33:D33"/>
    <mergeCell ref="B34:D34"/>
    <mergeCell ref="B35:D35"/>
  </mergeCells>
  <pageMargins left="0.11811023622047245" right="0.11811023622047245" top="0.15748031496062992" bottom="0.15748031496062992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Штиль</cp:lastModifiedBy>
  <cp:lastPrinted>2024-12-23T07:56:18Z</cp:lastPrinted>
  <dcterms:created xsi:type="dcterms:W3CDTF">2020-11-30T03:23:38Z</dcterms:created>
  <dcterms:modified xsi:type="dcterms:W3CDTF">2025-01-16T07:49:08Z</dcterms:modified>
</cp:coreProperties>
</file>