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E12"/>
  <c r="F12"/>
  <c r="F14"/>
  <c r="G12"/>
  <c r="G14"/>
  <c r="H12"/>
  <c r="H14"/>
  <c r="I12"/>
  <c r="I14"/>
  <c r="J12"/>
  <c r="J14"/>
  <c r="K14"/>
  <c r="K12"/>
  <c r="L12"/>
  <c r="L14"/>
  <c r="M14"/>
  <c r="M12"/>
  <c r="N12"/>
  <c r="N14"/>
  <c r="O12"/>
  <c r="O14"/>
  <c r="P12"/>
  <c r="P14"/>
  <c r="Q42"/>
  <c r="S33"/>
  <c r="S31"/>
  <c r="S29"/>
  <c r="P40"/>
  <c r="O40"/>
  <c r="N40"/>
  <c r="M40"/>
  <c r="L40"/>
  <c r="K40"/>
  <c r="J40"/>
  <c r="I40"/>
  <c r="H40"/>
  <c r="G40"/>
  <c r="F40"/>
  <c r="O29" l="1"/>
  <c r="L29"/>
  <c r="K29"/>
  <c r="J29"/>
  <c r="N29"/>
  <c r="M29"/>
  <c r="I29"/>
  <c r="H29"/>
  <c r="G29"/>
  <c r="F29"/>
  <c r="E29"/>
  <c r="F42" l="1"/>
  <c r="G42"/>
  <c r="H42"/>
  <c r="I42"/>
  <c r="J42"/>
  <c r="K42"/>
  <c r="L42"/>
  <c r="M42"/>
  <c r="N42"/>
  <c r="O42"/>
  <c r="P42"/>
  <c r="E42"/>
  <c r="P38" l="1"/>
  <c r="P36" l="1"/>
  <c r="O36"/>
  <c r="N36"/>
  <c r="M36"/>
  <c r="L36"/>
  <c r="K36"/>
  <c r="J36"/>
  <c r="I36"/>
  <c r="H36"/>
  <c r="G36"/>
  <c r="F36"/>
  <c r="E36"/>
  <c r="E40"/>
  <c r="O38"/>
  <c r="N38"/>
  <c r="M38"/>
  <c r="L38"/>
  <c r="K38"/>
  <c r="J38"/>
  <c r="I38"/>
  <c r="H38"/>
  <c r="G38"/>
  <c r="F38"/>
  <c r="E38"/>
  <c r="R35"/>
  <c r="R14"/>
  <c r="Q14" s="1"/>
  <c r="R12"/>
  <c r="Q12" s="1"/>
  <c r="R11"/>
  <c r="Q11" s="1"/>
  <c r="R10"/>
  <c r="Q10" s="1"/>
  <c r="R5"/>
  <c r="R6"/>
  <c r="R7"/>
  <c r="R8"/>
  <c r="R9"/>
  <c r="R4"/>
  <c r="Q5"/>
  <c r="Q6"/>
  <c r="Q7"/>
  <c r="Q8"/>
  <c r="Q9"/>
  <c r="Q4"/>
  <c r="R36" l="1"/>
  <c r="R31"/>
  <c r="Q31" s="1"/>
  <c r="R30"/>
  <c r="Q30" s="1"/>
  <c r="R29"/>
  <c r="Q29" s="1"/>
  <c r="R19"/>
  <c r="Q19" s="1"/>
  <c r="R18"/>
  <c r="Q18" s="1"/>
  <c r="R28"/>
  <c r="Q28" s="1"/>
  <c r="R17" l="1"/>
  <c r="Q17" s="1"/>
  <c r="R37" l="1"/>
  <c r="R23"/>
  <c r="Q23" s="1"/>
  <c r="R22"/>
  <c r="Q22" s="1"/>
  <c r="R32"/>
  <c r="Q32" s="1"/>
  <c r="R33"/>
  <c r="Q33" s="1"/>
  <c r="R24"/>
  <c r="Q24" s="1"/>
  <c r="R26"/>
  <c r="Q26" s="1"/>
  <c r="R21"/>
  <c r="Q21" s="1"/>
  <c r="R20"/>
  <c r="Q20" s="1"/>
  <c r="R27"/>
  <c r="Q27" s="1"/>
  <c r="R25"/>
  <c r="Q25" s="1"/>
</calcChain>
</file>

<file path=xl/sharedStrings.xml><?xml version="1.0" encoding="utf-8"?>
<sst xmlns="http://schemas.openxmlformats.org/spreadsheetml/2006/main" count="87" uniqueCount="64">
  <si>
    <t>Наименование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</si>
  <si>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</si>
  <si>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</si>
  <si>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</si>
  <si>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</si>
  <si>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</si>
  <si>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</si>
  <si>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</si>
  <si>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</si>
  <si>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</si>
  <si>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</si>
  <si>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</si>
  <si>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</si>
  <si>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 xml:space="preserve"> </t>
  </si>
  <si>
    <t>Расход эл энергии</t>
  </si>
  <si>
    <t>Квартиры, кВт</t>
  </si>
  <si>
    <t>ОДН, кВт</t>
  </si>
  <si>
    <t>Расоход теплоснабжение</t>
  </si>
  <si>
    <t>Отопление, Гкал</t>
  </si>
  <si>
    <t>Вид</t>
  </si>
  <si>
    <t>1 очередь</t>
  </si>
  <si>
    <t>2 очередь</t>
  </si>
  <si>
    <t>Договора на техническое обслуживание общедомовых систем</t>
  </si>
  <si>
    <t>Среднее значение</t>
  </si>
  <si>
    <t>1. Обслуживание ворот</t>
  </si>
  <si>
    <t>ООО "Модус"</t>
  </si>
  <si>
    <t>2. Обслуживание калиток</t>
  </si>
  <si>
    <t>4. Обслуживание лифтов</t>
  </si>
  <si>
    <t>ООО "Высота"</t>
  </si>
  <si>
    <t>ИП Морозов О.В.</t>
  </si>
  <si>
    <t>Потребление ресурсов</t>
  </si>
  <si>
    <t>Исполнение договоров на ТО</t>
  </si>
  <si>
    <t>Счет ТСН</t>
  </si>
  <si>
    <t>счет кап.ремонта</t>
  </si>
  <si>
    <t>6. Обслуживание ГИС ЖКХ</t>
  </si>
  <si>
    <t>ООО "Технология и сервис</t>
  </si>
  <si>
    <t>Очередь</t>
  </si>
  <si>
    <t>7. Аварийно-диспетчерская служба</t>
  </si>
  <si>
    <t>Поступление и расходы</t>
  </si>
  <si>
    <t>Фонд оплаты труда</t>
  </si>
  <si>
    <t>план</t>
  </si>
  <si>
    <t>факт</t>
  </si>
  <si>
    <t>Содержание и обслуживание ОДИ</t>
  </si>
  <si>
    <t>Расходы на ОДН</t>
  </si>
  <si>
    <t>1500 руб/ежемесячно</t>
  </si>
  <si>
    <t>Поступление на р/счета</t>
  </si>
  <si>
    <t>ООО "АДС"</t>
  </si>
  <si>
    <t>ИТОГО за год</t>
  </si>
  <si>
    <t>Итого расходы</t>
  </si>
  <si>
    <t>Расход водоснабжение (только ОДН)</t>
  </si>
  <si>
    <t>Нежилые пом, кВт</t>
  </si>
  <si>
    <t>1и 2  очередь (м3)</t>
  </si>
  <si>
    <t>Водоотведение (только ОДН)</t>
  </si>
  <si>
    <t>1 и 2 очередь (м3)</t>
  </si>
  <si>
    <t>2320 руб/ежемесячно</t>
  </si>
  <si>
    <t>1270 руб/ежемесячно</t>
  </si>
  <si>
    <t>15000 руб/ежемесячно</t>
  </si>
  <si>
    <t>АО "Омскгоргаз"</t>
  </si>
  <si>
    <t>5630,31 руб/ежемесячно</t>
  </si>
  <si>
    <t>28150 руб/ежемесячно</t>
  </si>
  <si>
    <t>Экономия за 2024 г.</t>
  </si>
  <si>
    <t>3. Обслуживание наружного газопровода</t>
  </si>
  <si>
    <t>5. Обслуживание автоматизированных тепловых узлов (2 шт) и повысительных насосных станций (2 шт.)</t>
  </si>
  <si>
    <t>Показатели финансово-хозяйственной деятельности ТСН "Штиль"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</si>
</sst>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" xfId="0" applyNumberFormat="1" applyBorder="1"/>
    <xf numFmtId="0" fontId="1" fillId="6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/>
    <xf numFmtId="2" fontId="0" fillId="0" borderId="14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1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4"/>
  <sheetViews>
    <sheetView tabSelected="1" workbookViewId="0">
      <selection activeCell="B1" sqref="B1"/>
    </sheetView>
  </sheetViews>
  <sheetFormatPr defaultRowHeight="15"/>
  <cols>
    <col min="1" max="1" width="18.5703125" customWidth="1"/>
    <col min="2" max="2" width="39.7109375" customWidth="1"/>
    <col min="3" max="3" width="18.7109375" customWidth="1"/>
    <col min="4" max="4" width="24" customWidth="1"/>
    <col min="17" max="17" width="18.85546875" customWidth="1"/>
    <col min="18" max="18" width="19.85546875" customWidth="1"/>
  </cols>
  <sheetData>
    <row r="1" spans="1:32" ht="27" customHeight="1">
      <c r="C1" s="94" t="s">
        <v>63</v>
      </c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32">
      <c r="E2" s="84">
        <v>2024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32" ht="15.75" thickBot="1">
      <c r="B3" s="32" t="s">
        <v>0</v>
      </c>
      <c r="C3" s="32" t="s">
        <v>19</v>
      </c>
      <c r="D3" s="32" t="s">
        <v>36</v>
      </c>
      <c r="E3" s="32" t="s">
        <v>1</v>
      </c>
      <c r="F3" s="32" t="s">
        <v>2</v>
      </c>
      <c r="G3" s="32" t="s">
        <v>3</v>
      </c>
      <c r="H3" s="32" t="s">
        <v>4</v>
      </c>
      <c r="I3" s="32" t="s">
        <v>5</v>
      </c>
      <c r="J3" s="32" t="s">
        <v>6</v>
      </c>
      <c r="K3" s="32" t="s">
        <v>7</v>
      </c>
      <c r="L3" s="32" t="s">
        <v>8</v>
      </c>
      <c r="M3" s="32" t="s">
        <v>9</v>
      </c>
      <c r="N3" s="32" t="s">
        <v>10</v>
      </c>
      <c r="O3" s="32" t="s">
        <v>11</v>
      </c>
      <c r="P3" s="32" t="s">
        <v>12</v>
      </c>
      <c r="Q3" s="32" t="s">
        <v>23</v>
      </c>
      <c r="R3" s="32" t="s">
        <v>47</v>
      </c>
    </row>
    <row r="4" spans="1:32" ht="15" customHeight="1">
      <c r="A4" s="77" t="s">
        <v>30</v>
      </c>
      <c r="B4" s="75" t="s">
        <v>14</v>
      </c>
      <c r="C4" s="62" t="s">
        <v>15</v>
      </c>
      <c r="D4" s="34" t="s">
        <v>20</v>
      </c>
      <c r="E4" s="35">
        <v>17049.48</v>
      </c>
      <c r="F4" s="36">
        <v>21757.66</v>
      </c>
      <c r="G4" s="37">
        <v>17077.3</v>
      </c>
      <c r="H4" s="35">
        <v>15395.42</v>
      </c>
      <c r="I4" s="36">
        <v>14614.77</v>
      </c>
      <c r="J4" s="37">
        <v>14991.48</v>
      </c>
      <c r="K4" s="35">
        <v>21195.52</v>
      </c>
      <c r="L4" s="36">
        <v>23844.73</v>
      </c>
      <c r="M4" s="91">
        <v>43829.03</v>
      </c>
      <c r="N4" s="80">
        <v>47654.74</v>
      </c>
      <c r="O4" s="82">
        <v>36466.71</v>
      </c>
      <c r="P4" s="91">
        <v>61357.1</v>
      </c>
      <c r="Q4" s="46">
        <f>SUM(E4:P4)/12</f>
        <v>27936.161666666667</v>
      </c>
      <c r="R4" s="38">
        <f>SUM(E4:P4)</f>
        <v>335233.94</v>
      </c>
    </row>
    <row r="5" spans="1:32" ht="15" customHeight="1">
      <c r="A5" s="78"/>
      <c r="B5" s="85"/>
      <c r="C5" s="63"/>
      <c r="D5" s="5" t="s">
        <v>21</v>
      </c>
      <c r="E5" s="13">
        <v>21000.76</v>
      </c>
      <c r="F5" s="14">
        <v>21784.12</v>
      </c>
      <c r="G5" s="15">
        <v>17380.75</v>
      </c>
      <c r="H5" s="13">
        <v>22062.35</v>
      </c>
      <c r="I5" s="14">
        <v>14328.4</v>
      </c>
      <c r="J5" s="15">
        <v>21095.56</v>
      </c>
      <c r="K5" s="13">
        <v>24966.03</v>
      </c>
      <c r="L5" s="14">
        <v>26905.83</v>
      </c>
      <c r="M5" s="87"/>
      <c r="N5" s="88"/>
      <c r="O5" s="90"/>
      <c r="P5" s="87"/>
      <c r="Q5" s="48">
        <f t="shared" ref="Q5:Q9" si="0">SUM(E5:P5)/12</f>
        <v>14126.983333333332</v>
      </c>
      <c r="R5" s="39">
        <f t="shared" ref="R5:R9" si="1">SUM(E5:P5)</f>
        <v>169523.8</v>
      </c>
    </row>
    <row r="6" spans="1:32" ht="15" customHeight="1">
      <c r="A6" s="78"/>
      <c r="B6" s="85"/>
      <c r="C6" s="64" t="s">
        <v>50</v>
      </c>
      <c r="D6" s="5" t="s">
        <v>20</v>
      </c>
      <c r="E6" s="13">
        <v>2410.52</v>
      </c>
      <c r="F6" s="14">
        <v>2341.34</v>
      </c>
      <c r="G6" s="15">
        <v>2384.6999999999998</v>
      </c>
      <c r="H6" s="13">
        <v>887.07</v>
      </c>
      <c r="I6" s="14">
        <v>3729.23</v>
      </c>
      <c r="J6" s="15">
        <v>-2957.47</v>
      </c>
      <c r="K6" s="13">
        <v>1546.62</v>
      </c>
      <c r="L6" s="14">
        <v>921.4</v>
      </c>
      <c r="M6" s="86">
        <v>12576.23</v>
      </c>
      <c r="N6" s="89">
        <v>-1037.3599999999999</v>
      </c>
      <c r="O6" s="92">
        <v>5300.72</v>
      </c>
      <c r="P6" s="86">
        <v>8150.48</v>
      </c>
      <c r="Q6" s="48">
        <f t="shared" si="0"/>
        <v>3021.123333333333</v>
      </c>
      <c r="R6" s="39">
        <f t="shared" si="1"/>
        <v>36253.479999999996</v>
      </c>
    </row>
    <row r="7" spans="1:32" ht="15" customHeight="1">
      <c r="A7" s="78"/>
      <c r="B7" s="85"/>
      <c r="C7" s="63"/>
      <c r="D7" s="5" t="s">
        <v>21</v>
      </c>
      <c r="E7" s="13">
        <v>257.24</v>
      </c>
      <c r="F7" s="14">
        <v>292.88</v>
      </c>
      <c r="G7" s="15">
        <v>1633.25</v>
      </c>
      <c r="H7" s="13">
        <v>246.28</v>
      </c>
      <c r="I7" s="14">
        <v>5863.6</v>
      </c>
      <c r="J7" s="15">
        <v>4073.11</v>
      </c>
      <c r="K7" s="13">
        <v>4422.41</v>
      </c>
      <c r="L7" s="14">
        <v>4421.25</v>
      </c>
      <c r="M7" s="87"/>
      <c r="N7" s="88"/>
      <c r="O7" s="90"/>
      <c r="P7" s="87"/>
      <c r="Q7" s="48">
        <f t="shared" si="0"/>
        <v>1767.5016666666668</v>
      </c>
      <c r="R7" s="39">
        <f t="shared" si="1"/>
        <v>21210.02</v>
      </c>
    </row>
    <row r="8" spans="1:32" ht="15" customHeight="1">
      <c r="A8" s="78"/>
      <c r="B8" s="85"/>
      <c r="C8" s="64" t="s">
        <v>16</v>
      </c>
      <c r="D8" s="5" t="s">
        <v>20</v>
      </c>
      <c r="E8" s="13">
        <v>11766</v>
      </c>
      <c r="F8" s="14">
        <v>506</v>
      </c>
      <c r="G8" s="15">
        <v>3302</v>
      </c>
      <c r="H8" s="13">
        <v>12083.51</v>
      </c>
      <c r="I8" s="14">
        <v>7045</v>
      </c>
      <c r="J8" s="15">
        <v>13276.27</v>
      </c>
      <c r="K8" s="13">
        <v>6681.86</v>
      </c>
      <c r="L8" s="14">
        <v>4500.87</v>
      </c>
      <c r="M8" s="86">
        <v>-8286.26</v>
      </c>
      <c r="N8" s="89">
        <v>5810.62</v>
      </c>
      <c r="O8" s="92">
        <v>11443.93</v>
      </c>
      <c r="P8" s="86">
        <v>0</v>
      </c>
      <c r="Q8" s="48">
        <f t="shared" si="0"/>
        <v>5677.4833333333336</v>
      </c>
      <c r="R8" s="39">
        <f t="shared" si="1"/>
        <v>68129.8</v>
      </c>
    </row>
    <row r="9" spans="1:32" ht="15" customHeight="1" thickBot="1">
      <c r="A9" s="78"/>
      <c r="B9" s="76"/>
      <c r="C9" s="65"/>
      <c r="D9" s="40" t="s">
        <v>21</v>
      </c>
      <c r="E9" s="41">
        <v>12822</v>
      </c>
      <c r="F9" s="42">
        <v>5770</v>
      </c>
      <c r="G9" s="43">
        <v>7492</v>
      </c>
      <c r="H9" s="41">
        <v>5854.37</v>
      </c>
      <c r="I9" s="42">
        <v>5052</v>
      </c>
      <c r="J9" s="43">
        <v>4414.33</v>
      </c>
      <c r="K9" s="41">
        <v>5795.56</v>
      </c>
      <c r="L9" s="42">
        <v>6380.92</v>
      </c>
      <c r="M9" s="93"/>
      <c r="N9" s="81"/>
      <c r="O9" s="83"/>
      <c r="P9" s="93"/>
      <c r="Q9" s="49">
        <f t="shared" si="0"/>
        <v>4465.0983333333324</v>
      </c>
      <c r="R9" s="44">
        <f t="shared" si="1"/>
        <v>53581.179999999993</v>
      </c>
    </row>
    <row r="10" spans="1:32" ht="15" customHeight="1" thickBot="1">
      <c r="A10" s="78"/>
      <c r="B10" s="95" t="s">
        <v>17</v>
      </c>
      <c r="C10" s="66" t="s">
        <v>18</v>
      </c>
      <c r="D10" s="31" t="s">
        <v>20</v>
      </c>
      <c r="E10" s="17">
        <v>4.1500000000000002E-2</v>
      </c>
      <c r="F10" s="18">
        <v>1.14E-2</v>
      </c>
      <c r="G10" s="19">
        <v>7.1999999999999998E-3</v>
      </c>
      <c r="H10" s="41">
        <v>4.0000000000000002E-4</v>
      </c>
      <c r="I10" s="18">
        <v>4.0000000000000002E-4</v>
      </c>
      <c r="J10" s="19">
        <v>0</v>
      </c>
      <c r="K10" s="17">
        <v>0</v>
      </c>
      <c r="L10" s="18">
        <v>0</v>
      </c>
      <c r="M10" s="19">
        <v>4.0000000000000002E-4</v>
      </c>
      <c r="N10" s="17">
        <v>8.9999999999999998E-4</v>
      </c>
      <c r="O10" s="18">
        <v>1.6999999999999999E-3</v>
      </c>
      <c r="P10" s="19">
        <v>4.3E-3</v>
      </c>
      <c r="Q10" s="50">
        <f>R10/12</f>
        <v>5.6833333333333319E-3</v>
      </c>
      <c r="R10" s="47">
        <f>SUM(E10:P10)</f>
        <v>6.8199999999999983E-2</v>
      </c>
    </row>
    <row r="11" spans="1:32" ht="15" customHeight="1" thickBot="1">
      <c r="A11" s="78"/>
      <c r="B11" s="96"/>
      <c r="C11" s="67"/>
      <c r="D11" s="40" t="s">
        <v>21</v>
      </c>
      <c r="E11" s="41">
        <v>0.1744</v>
      </c>
      <c r="F11" s="42">
        <v>0.13650000000000001</v>
      </c>
      <c r="G11" s="43">
        <v>0.1065</v>
      </c>
      <c r="H11" s="41">
        <v>5.79E-2</v>
      </c>
      <c r="I11" s="42">
        <v>5.79E-2</v>
      </c>
      <c r="J11" s="43">
        <v>0</v>
      </c>
      <c r="K11" s="41">
        <v>0</v>
      </c>
      <c r="L11" s="42">
        <v>0</v>
      </c>
      <c r="M11" s="43">
        <v>5.79E-2</v>
      </c>
      <c r="N11" s="41">
        <v>4.6300000000000001E-2</v>
      </c>
      <c r="O11" s="42">
        <v>0.1099</v>
      </c>
      <c r="P11" s="43">
        <v>0.13300000000000001</v>
      </c>
      <c r="Q11" s="49">
        <f>R11/12</f>
        <v>7.3358333333333331E-2</v>
      </c>
      <c r="R11" s="47">
        <f>SUM(E11:P11)</f>
        <v>0.88029999999999997</v>
      </c>
    </row>
    <row r="12" spans="1:32" ht="15" customHeight="1">
      <c r="A12" s="78"/>
      <c r="B12" s="75" t="s">
        <v>49</v>
      </c>
      <c r="C12" s="101" t="s">
        <v>51</v>
      </c>
      <c r="D12" s="102"/>
      <c r="E12" s="80">
        <f>422.98+38.62</f>
        <v>461.6</v>
      </c>
      <c r="F12" s="82">
        <f>462.98+39.42</f>
        <v>502.40000000000003</v>
      </c>
      <c r="G12" s="91">
        <f>314.16+36.95</f>
        <v>351.11</v>
      </c>
      <c r="H12" s="80">
        <f>26.28+170.7</f>
        <v>196.98</v>
      </c>
      <c r="I12" s="82">
        <f>487.67+32.96</f>
        <v>520.63</v>
      </c>
      <c r="J12" s="91">
        <f>198.3+26.53</f>
        <v>224.83</v>
      </c>
      <c r="K12" s="80">
        <f>230.13+20.78</f>
        <v>250.91</v>
      </c>
      <c r="L12" s="82">
        <f>4.87+1.77</f>
        <v>6.6400000000000006</v>
      </c>
      <c r="M12" s="91">
        <f>220.82+38.8</f>
        <v>259.62</v>
      </c>
      <c r="N12" s="80">
        <f>516+39.54</f>
        <v>555.54</v>
      </c>
      <c r="O12" s="82">
        <f>595.13+45.99</f>
        <v>641.12</v>
      </c>
      <c r="P12" s="91">
        <f>558.91+54.22</f>
        <v>613.13</v>
      </c>
      <c r="Q12" s="97">
        <f>R12/12</f>
        <v>382.04249999999996</v>
      </c>
      <c r="R12" s="99">
        <f>SUM(E12:P12)</f>
        <v>4584.5099999999993</v>
      </c>
    </row>
    <row r="13" spans="1:32" ht="15" customHeight="1" thickBot="1">
      <c r="A13" s="78"/>
      <c r="B13" s="76"/>
      <c r="C13" s="103"/>
      <c r="D13" s="104"/>
      <c r="E13" s="81"/>
      <c r="F13" s="83"/>
      <c r="G13" s="93"/>
      <c r="H13" s="81"/>
      <c r="I13" s="83"/>
      <c r="J13" s="93"/>
      <c r="K13" s="81"/>
      <c r="L13" s="83"/>
      <c r="M13" s="93"/>
      <c r="N13" s="81"/>
      <c r="O13" s="83"/>
      <c r="P13" s="93"/>
      <c r="Q13" s="98"/>
      <c r="R13" s="100"/>
    </row>
    <row r="14" spans="1:32" s="1" customFormat="1" ht="18.75" customHeight="1">
      <c r="A14" s="78"/>
      <c r="B14" s="75" t="s">
        <v>52</v>
      </c>
      <c r="C14" s="101" t="s">
        <v>53</v>
      </c>
      <c r="D14" s="102"/>
      <c r="E14" s="80">
        <f>422.98+37.85</f>
        <v>460.83000000000004</v>
      </c>
      <c r="F14" s="82">
        <f>462.98+39.42</f>
        <v>502.40000000000003</v>
      </c>
      <c r="G14" s="91">
        <f>330.43+34.31</f>
        <v>364.74</v>
      </c>
      <c r="H14" s="80">
        <f>17.7+26.28</f>
        <v>43.980000000000004</v>
      </c>
      <c r="I14" s="82">
        <f>498.36+32.96</f>
        <v>531.32000000000005</v>
      </c>
      <c r="J14" s="91">
        <f>174.17+25.31</f>
        <v>199.48</v>
      </c>
      <c r="K14" s="80">
        <f>230.13+20.78</f>
        <v>250.91</v>
      </c>
      <c r="L14" s="82">
        <f>4.87+1.77</f>
        <v>6.6400000000000006</v>
      </c>
      <c r="M14" s="91">
        <f>220.82+39.1</f>
        <v>259.92</v>
      </c>
      <c r="N14" s="80">
        <f>516+39.54</f>
        <v>555.54</v>
      </c>
      <c r="O14" s="82">
        <f>520.03+43.41</f>
        <v>563.43999999999994</v>
      </c>
      <c r="P14" s="91">
        <f>558.91+53.11</f>
        <v>612.02</v>
      </c>
      <c r="Q14" s="97">
        <f>R14/12</f>
        <v>362.60166666666663</v>
      </c>
      <c r="R14" s="99">
        <f>SUM(E14:P14)</f>
        <v>4351.2199999999993</v>
      </c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s="1" customFormat="1" ht="18.75" customHeight="1" thickBot="1">
      <c r="A15" s="79"/>
      <c r="B15" s="76"/>
      <c r="C15" s="103"/>
      <c r="D15" s="104"/>
      <c r="E15" s="81"/>
      <c r="F15" s="83"/>
      <c r="G15" s="93"/>
      <c r="H15" s="81"/>
      <c r="I15" s="83"/>
      <c r="J15" s="93"/>
      <c r="K15" s="81"/>
      <c r="L15" s="83"/>
      <c r="M15" s="93"/>
      <c r="N15" s="81"/>
      <c r="O15" s="83"/>
      <c r="P15" s="93"/>
      <c r="Q15" s="98"/>
      <c r="R15" s="100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4.45" customHeight="1">
      <c r="A16" s="59" t="s">
        <v>31</v>
      </c>
      <c r="B16" s="68" t="s">
        <v>22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33"/>
      <c r="R16" s="45"/>
      <c r="S16" s="9"/>
      <c r="T16" s="9"/>
      <c r="U16" s="9" t="s">
        <v>13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21" ht="14.45" customHeight="1">
      <c r="A17" s="60"/>
      <c r="B17" s="1" t="s">
        <v>24</v>
      </c>
      <c r="C17" s="3" t="s">
        <v>25</v>
      </c>
      <c r="D17" s="4" t="s">
        <v>54</v>
      </c>
      <c r="E17" s="13">
        <v>2320</v>
      </c>
      <c r="F17" s="13">
        <v>2320</v>
      </c>
      <c r="G17" s="13">
        <v>2320</v>
      </c>
      <c r="H17" s="13">
        <v>2320</v>
      </c>
      <c r="I17" s="13">
        <v>2320</v>
      </c>
      <c r="J17" s="13">
        <v>2320</v>
      </c>
      <c r="K17" s="13">
        <v>2320</v>
      </c>
      <c r="L17" s="13">
        <v>2320</v>
      </c>
      <c r="M17" s="13">
        <v>2320</v>
      </c>
      <c r="N17" s="13">
        <v>2320</v>
      </c>
      <c r="O17" s="13">
        <v>2320</v>
      </c>
      <c r="P17" s="13">
        <v>2320</v>
      </c>
      <c r="Q17" s="21">
        <f t="shared" ref="Q17:Q19" si="2">SUM(R17/12)</f>
        <v>2320</v>
      </c>
      <c r="R17" s="56">
        <f t="shared" ref="R17:R19" si="3">SUM(E17:P17)</f>
        <v>27840</v>
      </c>
    </row>
    <row r="18" spans="1:21" ht="14.45" customHeight="1">
      <c r="A18" s="60"/>
      <c r="B18" s="1" t="s">
        <v>26</v>
      </c>
      <c r="C18" s="3" t="s">
        <v>25</v>
      </c>
      <c r="D18" s="4" t="s">
        <v>55</v>
      </c>
      <c r="E18" s="13">
        <v>1270</v>
      </c>
      <c r="F18" s="13">
        <v>1270</v>
      </c>
      <c r="G18" s="13">
        <v>1270</v>
      </c>
      <c r="H18" s="13">
        <v>1395</v>
      </c>
      <c r="I18" s="13">
        <v>1395</v>
      </c>
      <c r="J18" s="13">
        <v>1395</v>
      </c>
      <c r="K18" s="13">
        <v>1395</v>
      </c>
      <c r="L18" s="13">
        <v>1395</v>
      </c>
      <c r="M18" s="13">
        <v>1395</v>
      </c>
      <c r="N18" s="13">
        <v>1395</v>
      </c>
      <c r="O18" s="13">
        <v>1395</v>
      </c>
      <c r="P18" s="13">
        <v>1395</v>
      </c>
      <c r="Q18" s="21">
        <f t="shared" si="2"/>
        <v>1363.75</v>
      </c>
      <c r="R18" s="56">
        <f t="shared" si="3"/>
        <v>16365</v>
      </c>
    </row>
    <row r="19" spans="1:21" ht="14.45" customHeight="1">
      <c r="A19" s="60"/>
      <c r="B19" s="1" t="s">
        <v>61</v>
      </c>
      <c r="C19" s="3" t="s">
        <v>57</v>
      </c>
      <c r="D19" s="4" t="s">
        <v>58</v>
      </c>
      <c r="E19" s="13">
        <v>5630</v>
      </c>
      <c r="F19" s="13">
        <v>5630</v>
      </c>
      <c r="G19" s="13">
        <v>5630</v>
      </c>
      <c r="H19" s="13">
        <v>5630</v>
      </c>
      <c r="I19" s="13">
        <v>5630</v>
      </c>
      <c r="J19" s="13">
        <v>5630</v>
      </c>
      <c r="K19" s="13">
        <v>5630</v>
      </c>
      <c r="L19" s="13">
        <v>5630</v>
      </c>
      <c r="M19" s="13">
        <v>5630</v>
      </c>
      <c r="N19" s="13">
        <v>5630</v>
      </c>
      <c r="O19" s="13">
        <v>5630</v>
      </c>
      <c r="P19" s="13">
        <v>5630</v>
      </c>
      <c r="Q19" s="21">
        <f t="shared" si="2"/>
        <v>5630</v>
      </c>
      <c r="R19" s="56">
        <f t="shared" si="3"/>
        <v>67560</v>
      </c>
      <c r="T19" t="s">
        <v>13</v>
      </c>
      <c r="U19" t="s">
        <v>13</v>
      </c>
    </row>
    <row r="20" spans="1:21" ht="14.45" customHeight="1">
      <c r="A20" s="60"/>
      <c r="B20" s="1" t="s">
        <v>27</v>
      </c>
      <c r="C20" s="3" t="s">
        <v>28</v>
      </c>
      <c r="D20" s="4" t="s">
        <v>59</v>
      </c>
      <c r="E20" s="13">
        <v>28150</v>
      </c>
      <c r="F20" s="14">
        <v>28150</v>
      </c>
      <c r="G20" s="15">
        <v>28150</v>
      </c>
      <c r="H20" s="13">
        <v>28150</v>
      </c>
      <c r="I20" s="14">
        <v>28150</v>
      </c>
      <c r="J20" s="15">
        <v>28150</v>
      </c>
      <c r="K20" s="13">
        <v>28150</v>
      </c>
      <c r="L20" s="14">
        <v>28150</v>
      </c>
      <c r="M20" s="15">
        <v>28150</v>
      </c>
      <c r="N20" s="13">
        <v>28150</v>
      </c>
      <c r="O20" s="14">
        <v>28150</v>
      </c>
      <c r="P20" s="15">
        <v>28150</v>
      </c>
      <c r="Q20" s="21">
        <f t="shared" ref="Q20:Q23" si="4">SUM(R20/12)</f>
        <v>28150</v>
      </c>
      <c r="R20" s="56">
        <f t="shared" ref="R20:R23" si="5">SUM(E20:P20)</f>
        <v>337800</v>
      </c>
    </row>
    <row r="21" spans="1:21" ht="48" customHeight="1">
      <c r="A21" s="60"/>
      <c r="B21" s="55" t="s">
        <v>62</v>
      </c>
      <c r="C21" s="3" t="s">
        <v>29</v>
      </c>
      <c r="D21" s="4" t="s">
        <v>56</v>
      </c>
      <c r="E21" s="13">
        <v>15000</v>
      </c>
      <c r="F21" s="13">
        <v>15000</v>
      </c>
      <c r="G21" s="13">
        <v>15000</v>
      </c>
      <c r="H21" s="13">
        <v>15000</v>
      </c>
      <c r="I21" s="13">
        <v>15000</v>
      </c>
      <c r="J21" s="13">
        <v>15000</v>
      </c>
      <c r="K21" s="13">
        <v>15000</v>
      </c>
      <c r="L21" s="13">
        <v>15000</v>
      </c>
      <c r="M21" s="13">
        <v>15000</v>
      </c>
      <c r="N21" s="13">
        <v>15000</v>
      </c>
      <c r="O21" s="13">
        <v>15000</v>
      </c>
      <c r="P21" s="13">
        <v>15000</v>
      </c>
      <c r="Q21" s="21">
        <f t="shared" si="4"/>
        <v>15000</v>
      </c>
      <c r="R21" s="57">
        <f t="shared" si="5"/>
        <v>180000</v>
      </c>
    </row>
    <row r="22" spans="1:21" ht="34.5" customHeight="1">
      <c r="A22" s="60"/>
      <c r="B22" s="8" t="s">
        <v>34</v>
      </c>
      <c r="C22" s="12" t="s">
        <v>35</v>
      </c>
      <c r="D22" s="7" t="s">
        <v>44</v>
      </c>
      <c r="E22" s="16">
        <v>1500</v>
      </c>
      <c r="F22" s="16">
        <v>1500</v>
      </c>
      <c r="G22" s="16">
        <v>1500</v>
      </c>
      <c r="H22" s="16">
        <v>1500</v>
      </c>
      <c r="I22" s="16">
        <v>1500</v>
      </c>
      <c r="J22" s="16">
        <v>1500</v>
      </c>
      <c r="K22" s="16">
        <v>1500</v>
      </c>
      <c r="L22" s="16">
        <v>1500</v>
      </c>
      <c r="M22" s="16">
        <v>1500</v>
      </c>
      <c r="N22" s="16">
        <v>1500</v>
      </c>
      <c r="O22" s="16">
        <v>1500</v>
      </c>
      <c r="P22" s="16">
        <v>1500</v>
      </c>
      <c r="Q22" s="4">
        <f t="shared" si="4"/>
        <v>1500</v>
      </c>
      <c r="R22" s="57">
        <f t="shared" si="5"/>
        <v>18000</v>
      </c>
    </row>
    <row r="23" spans="1:21" ht="18.600000000000001" customHeight="1">
      <c r="A23" s="61"/>
      <c r="B23" s="6" t="s">
        <v>37</v>
      </c>
      <c r="C23" s="10" t="s">
        <v>46</v>
      </c>
      <c r="D23" s="7" t="s">
        <v>44</v>
      </c>
      <c r="E23" s="13">
        <v>1500</v>
      </c>
      <c r="F23" s="13">
        <v>1500</v>
      </c>
      <c r="G23" s="13">
        <v>1500</v>
      </c>
      <c r="H23" s="13">
        <v>1500</v>
      </c>
      <c r="I23" s="13">
        <v>1500</v>
      </c>
      <c r="J23" s="13">
        <v>1500</v>
      </c>
      <c r="K23" s="13">
        <v>1500</v>
      </c>
      <c r="L23" s="13">
        <v>1500</v>
      </c>
      <c r="M23" s="13">
        <v>1500</v>
      </c>
      <c r="N23" s="13">
        <v>1500</v>
      </c>
      <c r="O23" s="13">
        <v>1500</v>
      </c>
      <c r="P23" s="13">
        <v>1500</v>
      </c>
      <c r="Q23" s="4">
        <f t="shared" si="4"/>
        <v>1500</v>
      </c>
      <c r="R23" s="56">
        <f t="shared" si="5"/>
        <v>18000</v>
      </c>
    </row>
    <row r="24" spans="1:21" s="9" customFormat="1">
      <c r="A24" s="58" t="s">
        <v>38</v>
      </c>
      <c r="B24" s="71" t="s">
        <v>45</v>
      </c>
      <c r="C24" s="71" t="s">
        <v>32</v>
      </c>
      <c r="D24" s="2" t="s">
        <v>40</v>
      </c>
      <c r="E24" s="13">
        <v>452501</v>
      </c>
      <c r="F24" s="14">
        <v>452501</v>
      </c>
      <c r="G24" s="15">
        <v>452501</v>
      </c>
      <c r="H24" s="13">
        <v>452501</v>
      </c>
      <c r="I24" s="14">
        <v>452501</v>
      </c>
      <c r="J24" s="15">
        <v>452501</v>
      </c>
      <c r="K24" s="13">
        <v>452501</v>
      </c>
      <c r="L24" s="14">
        <v>452501</v>
      </c>
      <c r="M24" s="15">
        <v>452501</v>
      </c>
      <c r="N24" s="13">
        <v>452501</v>
      </c>
      <c r="O24" s="14">
        <v>452501</v>
      </c>
      <c r="P24" s="14">
        <v>452501</v>
      </c>
      <c r="Q24" s="21">
        <f t="shared" ref="Q24:Q29" si="6">SUM(R24/12)</f>
        <v>452501</v>
      </c>
      <c r="R24" s="56">
        <f t="shared" ref="R24:R29" si="7">SUM(E24:P24)</f>
        <v>5430012</v>
      </c>
    </row>
    <row r="25" spans="1:21" s="9" customFormat="1">
      <c r="A25" s="58"/>
      <c r="B25" s="66"/>
      <c r="C25" s="72"/>
      <c r="D25" s="11" t="s">
        <v>41</v>
      </c>
      <c r="E25" s="13">
        <v>387546</v>
      </c>
      <c r="F25" s="14">
        <v>397463</v>
      </c>
      <c r="G25" s="15">
        <v>444050</v>
      </c>
      <c r="H25" s="13">
        <v>443690</v>
      </c>
      <c r="I25" s="14">
        <v>420897</v>
      </c>
      <c r="J25" s="15">
        <v>343571</v>
      </c>
      <c r="K25" s="13">
        <v>443443</v>
      </c>
      <c r="L25" s="14">
        <v>392236</v>
      </c>
      <c r="M25" s="15">
        <v>380898</v>
      </c>
      <c r="N25" s="13">
        <v>480549</v>
      </c>
      <c r="O25" s="14">
        <v>368424</v>
      </c>
      <c r="P25" s="15">
        <v>520112</v>
      </c>
      <c r="Q25" s="21">
        <f t="shared" si="6"/>
        <v>418573.25</v>
      </c>
      <c r="R25" s="56">
        <f t="shared" si="7"/>
        <v>5022879</v>
      </c>
    </row>
    <row r="26" spans="1:21">
      <c r="A26" s="58"/>
      <c r="B26" s="66"/>
      <c r="C26" s="71" t="s">
        <v>33</v>
      </c>
      <c r="D26" s="2" t="s">
        <v>40</v>
      </c>
      <c r="E26" s="13">
        <v>209423</v>
      </c>
      <c r="F26" s="14">
        <v>209423</v>
      </c>
      <c r="G26" s="15">
        <v>209423</v>
      </c>
      <c r="H26" s="13">
        <v>209423</v>
      </c>
      <c r="I26" s="14">
        <v>209423</v>
      </c>
      <c r="J26" s="15">
        <v>209423</v>
      </c>
      <c r="K26" s="13">
        <v>209423</v>
      </c>
      <c r="L26" s="14">
        <v>209423</v>
      </c>
      <c r="M26" s="15">
        <v>209423</v>
      </c>
      <c r="N26" s="13">
        <v>209423</v>
      </c>
      <c r="O26" s="14">
        <v>209423</v>
      </c>
      <c r="P26" s="14">
        <v>209423</v>
      </c>
      <c r="Q26" s="21">
        <f t="shared" si="6"/>
        <v>209423</v>
      </c>
      <c r="R26" s="56">
        <f t="shared" si="7"/>
        <v>2513076</v>
      </c>
    </row>
    <row r="27" spans="1:21">
      <c r="A27" s="58"/>
      <c r="B27" s="72"/>
      <c r="C27" s="72"/>
      <c r="D27" s="11" t="s">
        <v>41</v>
      </c>
      <c r="E27" s="17">
        <v>174941</v>
      </c>
      <c r="F27" s="18">
        <v>189140</v>
      </c>
      <c r="G27" s="19">
        <v>201771</v>
      </c>
      <c r="H27" s="17">
        <v>204749</v>
      </c>
      <c r="I27" s="18">
        <v>202119</v>
      </c>
      <c r="J27" s="19">
        <v>178914</v>
      </c>
      <c r="K27" s="17">
        <v>210075</v>
      </c>
      <c r="L27" s="18">
        <v>190573</v>
      </c>
      <c r="M27" s="19">
        <v>200697</v>
      </c>
      <c r="N27" s="17">
        <v>220473</v>
      </c>
      <c r="O27" s="18">
        <v>172671</v>
      </c>
      <c r="P27" s="19">
        <v>249986</v>
      </c>
      <c r="Q27" s="21">
        <f t="shared" si="6"/>
        <v>199675.75</v>
      </c>
      <c r="R27" s="56">
        <f t="shared" si="7"/>
        <v>2396109</v>
      </c>
    </row>
    <row r="28" spans="1:21">
      <c r="A28" s="58"/>
      <c r="B28" s="71" t="s">
        <v>39</v>
      </c>
      <c r="C28" s="73" t="s">
        <v>40</v>
      </c>
      <c r="D28" s="74"/>
      <c r="E28" s="13">
        <v>234968</v>
      </c>
      <c r="F28" s="13">
        <v>234968</v>
      </c>
      <c r="G28" s="13">
        <v>234968</v>
      </c>
      <c r="H28" s="13">
        <v>234968</v>
      </c>
      <c r="I28" s="13">
        <v>234968</v>
      </c>
      <c r="J28" s="13">
        <v>234968</v>
      </c>
      <c r="K28" s="13">
        <v>234968</v>
      </c>
      <c r="L28" s="13">
        <v>234968</v>
      </c>
      <c r="M28" s="13">
        <v>234968</v>
      </c>
      <c r="N28" s="13">
        <v>234968</v>
      </c>
      <c r="O28" s="13">
        <v>234968</v>
      </c>
      <c r="P28" s="13">
        <v>234968</v>
      </c>
      <c r="Q28" s="21">
        <f t="shared" si="6"/>
        <v>234968</v>
      </c>
      <c r="R28" s="56">
        <f t="shared" si="7"/>
        <v>2819616</v>
      </c>
    </row>
    <row r="29" spans="1:21">
      <c r="A29" s="58"/>
      <c r="B29" s="72"/>
      <c r="C29" s="73" t="s">
        <v>41</v>
      </c>
      <c r="D29" s="74"/>
      <c r="E29" s="25">
        <f>205412+28000</f>
        <v>233412</v>
      </c>
      <c r="F29" s="26">
        <f>209106+28000</f>
        <v>237106</v>
      </c>
      <c r="G29" s="27">
        <f>196871+28000</f>
        <v>224871</v>
      </c>
      <c r="H29" s="25">
        <f>216563+28000</f>
        <v>244563</v>
      </c>
      <c r="I29" s="26">
        <f>196599+28000</f>
        <v>224599</v>
      </c>
      <c r="J29" s="27">
        <f>169920+28000+28000</f>
        <v>225920</v>
      </c>
      <c r="K29" s="25">
        <f>168958+28000+28000</f>
        <v>224958</v>
      </c>
      <c r="L29" s="26">
        <f>171021+28000+28000</f>
        <v>227021</v>
      </c>
      <c r="M29" s="27">
        <f>207352+28000</f>
        <v>235352</v>
      </c>
      <c r="N29" s="25">
        <f>207352+28000</f>
        <v>235352</v>
      </c>
      <c r="O29" s="26">
        <f>207352+28000+9000</f>
        <v>244352</v>
      </c>
      <c r="P29" s="27">
        <v>250325</v>
      </c>
      <c r="Q29" s="21">
        <f t="shared" si="6"/>
        <v>233985.91666666666</v>
      </c>
      <c r="R29" s="52">
        <f t="shared" si="7"/>
        <v>2807831</v>
      </c>
      <c r="S29" s="29">
        <f>SUM(R28-R29)</f>
        <v>11785</v>
      </c>
    </row>
    <row r="30" spans="1:21" ht="17.100000000000001" customHeight="1">
      <c r="A30" s="58"/>
      <c r="B30" s="71" t="s">
        <v>42</v>
      </c>
      <c r="C30" s="73" t="s">
        <v>40</v>
      </c>
      <c r="D30" s="74"/>
      <c r="E30" s="13">
        <v>74443</v>
      </c>
      <c r="F30" s="14">
        <v>74443</v>
      </c>
      <c r="G30" s="15">
        <v>74443</v>
      </c>
      <c r="H30" s="13">
        <v>74443</v>
      </c>
      <c r="I30" s="14">
        <v>74443</v>
      </c>
      <c r="J30" s="15">
        <v>74443</v>
      </c>
      <c r="K30" s="13">
        <v>74443</v>
      </c>
      <c r="L30" s="14">
        <v>74443</v>
      </c>
      <c r="M30" s="15">
        <v>74443</v>
      </c>
      <c r="N30" s="13">
        <v>74443</v>
      </c>
      <c r="O30" s="14">
        <v>74443</v>
      </c>
      <c r="P30" s="15">
        <v>74443</v>
      </c>
      <c r="Q30" s="21">
        <f t="shared" ref="Q30:Q31" si="8">SUM(R30/12)</f>
        <v>74443</v>
      </c>
      <c r="R30" s="28">
        <f t="shared" ref="R30:R31" si="9">SUM(E30:P30)</f>
        <v>893316</v>
      </c>
    </row>
    <row r="31" spans="1:21">
      <c r="A31" s="58"/>
      <c r="B31" s="72"/>
      <c r="C31" s="73" t="s">
        <v>41</v>
      </c>
      <c r="D31" s="74"/>
      <c r="E31" s="13">
        <v>24829</v>
      </c>
      <c r="F31" s="14">
        <v>11150</v>
      </c>
      <c r="G31" s="15">
        <v>65626</v>
      </c>
      <c r="H31" s="13">
        <v>17736</v>
      </c>
      <c r="I31" s="14">
        <v>66096</v>
      </c>
      <c r="J31" s="15">
        <v>12560</v>
      </c>
      <c r="K31" s="13">
        <v>34079</v>
      </c>
      <c r="L31" s="14">
        <v>91231</v>
      </c>
      <c r="M31" s="15">
        <v>68417</v>
      </c>
      <c r="N31" s="13">
        <v>15961</v>
      </c>
      <c r="O31" s="14">
        <v>103400</v>
      </c>
      <c r="P31" s="53">
        <v>69061</v>
      </c>
      <c r="Q31" s="21">
        <f t="shared" si="8"/>
        <v>48345.5</v>
      </c>
      <c r="R31" s="52">
        <f t="shared" si="9"/>
        <v>580146</v>
      </c>
      <c r="S31" s="29">
        <f>SUM(R30-R31)</f>
        <v>313170</v>
      </c>
    </row>
    <row r="32" spans="1:21">
      <c r="A32" s="58"/>
      <c r="B32" s="71" t="s">
        <v>43</v>
      </c>
      <c r="C32" s="73" t="s">
        <v>40</v>
      </c>
      <c r="D32" s="74"/>
      <c r="E32" s="13">
        <v>87500</v>
      </c>
      <c r="F32" s="13">
        <v>87500</v>
      </c>
      <c r="G32" s="13">
        <v>87500</v>
      </c>
      <c r="H32" s="13">
        <v>87500</v>
      </c>
      <c r="I32" s="13">
        <v>87500</v>
      </c>
      <c r="J32" s="13">
        <v>87500</v>
      </c>
      <c r="K32" s="13">
        <v>87500</v>
      </c>
      <c r="L32" s="13">
        <v>87500</v>
      </c>
      <c r="M32" s="13">
        <v>87500</v>
      </c>
      <c r="N32" s="13">
        <v>87500</v>
      </c>
      <c r="O32" s="13">
        <v>87500</v>
      </c>
      <c r="P32" s="13">
        <v>87500</v>
      </c>
      <c r="Q32" s="21">
        <f>SUM(R32/12)</f>
        <v>87500</v>
      </c>
      <c r="R32" s="56">
        <f>SUM(E32:P32)</f>
        <v>1050000</v>
      </c>
    </row>
    <row r="33" spans="1:19">
      <c r="A33" s="58"/>
      <c r="B33" s="72"/>
      <c r="C33" s="73" t="s">
        <v>41</v>
      </c>
      <c r="D33" s="74"/>
      <c r="E33" s="24">
        <v>163499</v>
      </c>
      <c r="F33" s="22">
        <v>70359</v>
      </c>
      <c r="G33" s="23">
        <v>83953</v>
      </c>
      <c r="H33" s="24">
        <v>108213</v>
      </c>
      <c r="I33" s="22">
        <v>93502</v>
      </c>
      <c r="J33" s="23">
        <v>104506</v>
      </c>
      <c r="K33" s="24">
        <v>89916</v>
      </c>
      <c r="L33" s="22">
        <v>68390</v>
      </c>
      <c r="M33" s="23">
        <v>21911</v>
      </c>
      <c r="N33" s="24">
        <v>35808</v>
      </c>
      <c r="O33" s="22">
        <v>105772</v>
      </c>
      <c r="P33" s="54">
        <v>48590</v>
      </c>
      <c r="Q33" s="21">
        <f>SUM(R33/12)</f>
        <v>82868.25</v>
      </c>
      <c r="R33" s="52">
        <f>SUM(E33:P33)</f>
        <v>994419</v>
      </c>
      <c r="S33" s="29">
        <f>SUM(R32-R33)</f>
        <v>55581</v>
      </c>
    </row>
    <row r="35" spans="1:19">
      <c r="B35" s="84" t="s">
        <v>48</v>
      </c>
      <c r="C35" s="73" t="s">
        <v>40</v>
      </c>
      <c r="D35" s="74"/>
      <c r="E35" s="1">
        <v>452501</v>
      </c>
      <c r="F35" s="1">
        <v>452501</v>
      </c>
      <c r="G35" s="1">
        <v>452501</v>
      </c>
      <c r="H35" s="1">
        <v>452501</v>
      </c>
      <c r="I35" s="1">
        <v>452501</v>
      </c>
      <c r="J35" s="1">
        <v>452501</v>
      </c>
      <c r="K35" s="1">
        <v>452501</v>
      </c>
      <c r="L35" s="1">
        <v>452501</v>
      </c>
      <c r="M35" s="1">
        <v>452501</v>
      </c>
      <c r="N35" s="1">
        <v>452501</v>
      </c>
      <c r="O35" s="1">
        <v>452501</v>
      </c>
      <c r="P35" s="1">
        <v>452501</v>
      </c>
      <c r="Q35" s="21"/>
      <c r="R35" s="56">
        <f>SUM(E35:P35)</f>
        <v>5430012</v>
      </c>
    </row>
    <row r="36" spans="1:19">
      <c r="B36" s="84"/>
      <c r="C36" s="73" t="s">
        <v>41</v>
      </c>
      <c r="D36" s="74"/>
      <c r="E36" s="30">
        <f t="shared" ref="E36:P36" si="10">SUM(E17+E18+E19+E20+E21+E22+E23+E29+E31+E33)</f>
        <v>477110</v>
      </c>
      <c r="F36" s="30">
        <f t="shared" si="10"/>
        <v>373985</v>
      </c>
      <c r="G36" s="30">
        <f t="shared" si="10"/>
        <v>429820</v>
      </c>
      <c r="H36" s="30">
        <f t="shared" si="10"/>
        <v>426007</v>
      </c>
      <c r="I36" s="30">
        <f t="shared" si="10"/>
        <v>439692</v>
      </c>
      <c r="J36" s="30">
        <f t="shared" si="10"/>
        <v>398481</v>
      </c>
      <c r="K36" s="30">
        <f t="shared" si="10"/>
        <v>404448</v>
      </c>
      <c r="L36" s="30">
        <f t="shared" si="10"/>
        <v>442137</v>
      </c>
      <c r="M36" s="30">
        <f t="shared" si="10"/>
        <v>381175</v>
      </c>
      <c r="N36" s="30">
        <f t="shared" si="10"/>
        <v>342616</v>
      </c>
      <c r="O36" s="30">
        <f t="shared" si="10"/>
        <v>509019</v>
      </c>
      <c r="P36" s="30">
        <f t="shared" si="10"/>
        <v>423471</v>
      </c>
      <c r="Q36" s="21"/>
      <c r="R36" s="20">
        <f>SUM(E36:P36)</f>
        <v>5047961</v>
      </c>
    </row>
    <row r="37" spans="1:19">
      <c r="Q37" s="51" t="s">
        <v>60</v>
      </c>
      <c r="R37" s="52">
        <f>R35-R36</f>
        <v>382051</v>
      </c>
    </row>
    <row r="38" spans="1:19">
      <c r="D38" t="s">
        <v>41</v>
      </c>
      <c r="E38" s="29">
        <f t="shared" ref="E38:P38" si="11">SUM(E17+E18+E19+E20+E21+E22+E23+E29+E33)</f>
        <v>452281</v>
      </c>
      <c r="F38" s="29">
        <f t="shared" si="11"/>
        <v>362835</v>
      </c>
      <c r="G38" s="29">
        <f t="shared" si="11"/>
        <v>364194</v>
      </c>
      <c r="H38" s="29">
        <f t="shared" si="11"/>
        <v>408271</v>
      </c>
      <c r="I38" s="29">
        <f t="shared" si="11"/>
        <v>373596</v>
      </c>
      <c r="J38" s="29">
        <f t="shared" si="11"/>
        <v>385921</v>
      </c>
      <c r="K38" s="29">
        <f t="shared" si="11"/>
        <v>370369</v>
      </c>
      <c r="L38" s="29">
        <f t="shared" si="11"/>
        <v>350906</v>
      </c>
      <c r="M38" s="29">
        <f t="shared" si="11"/>
        <v>312758</v>
      </c>
      <c r="N38" s="29">
        <f t="shared" si="11"/>
        <v>326655</v>
      </c>
      <c r="O38" s="29">
        <f t="shared" si="11"/>
        <v>405619</v>
      </c>
      <c r="P38" s="29">
        <f t="shared" si="11"/>
        <v>354410</v>
      </c>
      <c r="Q38" s="29"/>
      <c r="R38" s="29"/>
    </row>
    <row r="39" spans="1:19">
      <c r="Q39" s="29"/>
    </row>
    <row r="40" spans="1:19">
      <c r="D40" t="s">
        <v>40</v>
      </c>
      <c r="E40">
        <f>SUM(E17+E18+E19+E20+E21+E22+E23+E28+E32)</f>
        <v>377838</v>
      </c>
      <c r="F40">
        <f t="shared" ref="F40:P40" si="12">SUM(F17+F18+F19+F20+F21+F22+F23+F28+F32)</f>
        <v>377838</v>
      </c>
      <c r="G40">
        <f t="shared" si="12"/>
        <v>377838</v>
      </c>
      <c r="H40">
        <f t="shared" si="12"/>
        <v>377963</v>
      </c>
      <c r="I40">
        <f t="shared" si="12"/>
        <v>377963</v>
      </c>
      <c r="J40">
        <f t="shared" si="12"/>
        <v>377963</v>
      </c>
      <c r="K40">
        <f t="shared" si="12"/>
        <v>377963</v>
      </c>
      <c r="L40">
        <f t="shared" si="12"/>
        <v>377963</v>
      </c>
      <c r="M40">
        <f t="shared" si="12"/>
        <v>377963</v>
      </c>
      <c r="N40">
        <f t="shared" si="12"/>
        <v>377963</v>
      </c>
      <c r="O40">
        <f t="shared" si="12"/>
        <v>377963</v>
      </c>
      <c r="P40">
        <f t="shared" si="12"/>
        <v>377963</v>
      </c>
    </row>
    <row r="42" spans="1:19">
      <c r="D42" t="s">
        <v>13</v>
      </c>
      <c r="E42" s="29">
        <f>E28-E29</f>
        <v>1556</v>
      </c>
      <c r="F42" s="29">
        <f t="shared" ref="F42:P42" si="13">F28-F29</f>
        <v>-2138</v>
      </c>
      <c r="G42" s="29">
        <f t="shared" si="13"/>
        <v>10097</v>
      </c>
      <c r="H42" s="29">
        <f t="shared" si="13"/>
        <v>-9595</v>
      </c>
      <c r="I42" s="29">
        <f t="shared" si="13"/>
        <v>10369</v>
      </c>
      <c r="J42" s="29">
        <f t="shared" si="13"/>
        <v>9048</v>
      </c>
      <c r="K42" s="29">
        <f t="shared" si="13"/>
        <v>10010</v>
      </c>
      <c r="L42" s="29">
        <f t="shared" si="13"/>
        <v>7947</v>
      </c>
      <c r="M42" s="29">
        <f t="shared" si="13"/>
        <v>-384</v>
      </c>
      <c r="N42" s="29">
        <f t="shared" si="13"/>
        <v>-384</v>
      </c>
      <c r="O42" s="29">
        <f t="shared" si="13"/>
        <v>-9384</v>
      </c>
      <c r="P42" s="29">
        <f t="shared" si="13"/>
        <v>-15357</v>
      </c>
      <c r="Q42" s="29">
        <f>SUM(E42:P42)</f>
        <v>11785</v>
      </c>
    </row>
    <row r="44" spans="1:19">
      <c r="E44" s="29"/>
      <c r="F44" s="29"/>
    </row>
  </sheetData>
  <mergeCells count="71">
    <mergeCell ref="R12:R13"/>
    <mergeCell ref="Q14:Q15"/>
    <mergeCell ref="R14:R15"/>
    <mergeCell ref="E12:E13"/>
    <mergeCell ref="C12:D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K14:K15"/>
    <mergeCell ref="Q12:Q13"/>
    <mergeCell ref="L14:L15"/>
    <mergeCell ref="M14:M15"/>
    <mergeCell ref="N14:N15"/>
    <mergeCell ref="O14:O15"/>
    <mergeCell ref="P14:P15"/>
    <mergeCell ref="C1:P1"/>
    <mergeCell ref="B10:B11"/>
    <mergeCell ref="C35:D35"/>
    <mergeCell ref="C26:C27"/>
    <mergeCell ref="C24:C25"/>
    <mergeCell ref="C28:D28"/>
    <mergeCell ref="C29:D29"/>
    <mergeCell ref="B30:B31"/>
    <mergeCell ref="C30:D30"/>
    <mergeCell ref="C31:D31"/>
    <mergeCell ref="M4:M5"/>
    <mergeCell ref="M8:M9"/>
    <mergeCell ref="G14:G15"/>
    <mergeCell ref="H14:H15"/>
    <mergeCell ref="I14:I15"/>
    <mergeCell ref="J14:J15"/>
    <mergeCell ref="C36:D36"/>
    <mergeCell ref="B35:B36"/>
    <mergeCell ref="E2:P2"/>
    <mergeCell ref="B4:B9"/>
    <mergeCell ref="B12:B13"/>
    <mergeCell ref="M6:M7"/>
    <mergeCell ref="N4:N5"/>
    <mergeCell ref="N6:N7"/>
    <mergeCell ref="N8:N9"/>
    <mergeCell ref="O4:O5"/>
    <mergeCell ref="P4:P5"/>
    <mergeCell ref="O6:O7"/>
    <mergeCell ref="P6:P7"/>
    <mergeCell ref="O8:O9"/>
    <mergeCell ref="P8:P9"/>
    <mergeCell ref="C14:D15"/>
    <mergeCell ref="A24:A33"/>
    <mergeCell ref="A16:A23"/>
    <mergeCell ref="C4:C5"/>
    <mergeCell ref="C8:C9"/>
    <mergeCell ref="C10:C11"/>
    <mergeCell ref="B16:P16"/>
    <mergeCell ref="B32:B33"/>
    <mergeCell ref="C32:D32"/>
    <mergeCell ref="C33:D33"/>
    <mergeCell ref="B24:B27"/>
    <mergeCell ref="C6:C7"/>
    <mergeCell ref="B14:B15"/>
    <mergeCell ref="B28:B29"/>
    <mergeCell ref="A4:A15"/>
    <mergeCell ref="E14:E15"/>
    <mergeCell ref="F14:F15"/>
  </mergeCells>
  <pageMargins left="0" right="0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2025-01-28T14:50:24Z</dcterms:modified>
</cp:coreProperties>
</file>