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Дима работа\ШТИЛЬ\Отчет 2023\"/>
    </mc:Choice>
  </mc:AlternateContent>
  <xr:revisionPtr revIDLastSave="0" documentId="13_ncr:1_{9375980E-6E54-4678-8FA3-10F072D3877E}" xr6:coauthVersionLast="37" xr6:coauthVersionMax="37" xr10:uidLastSave="{00000000-0000-0000-0000-000000000000}"/>
  <bookViews>
    <workbookView xWindow="0" yWindow="0" windowWidth="23040" windowHeight="9060" xr2:uid="{00000000-000D-0000-FFFF-FFFF00000000}"/>
  </bookViews>
  <sheets>
    <sheet name="Лист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" l="1"/>
  <c r="F34" i="1"/>
  <c r="F19" i="1"/>
  <c r="G42" i="1"/>
  <c r="F30" i="1"/>
  <c r="F29" i="1"/>
  <c r="E10" i="1"/>
  <c r="F13" i="1"/>
  <c r="G40" i="1"/>
  <c r="F39" i="1"/>
  <c r="F33" i="1" l="1"/>
  <c r="F23" i="1" l="1"/>
  <c r="F14" i="1"/>
  <c r="F12" i="1"/>
  <c r="F11" i="1"/>
  <c r="F10" i="1" s="1"/>
  <c r="E27" i="1"/>
  <c r="G21" i="1"/>
  <c r="F32" i="1"/>
  <c r="G32" i="1" s="1"/>
  <c r="G13" i="1"/>
  <c r="F37" i="1" l="1"/>
  <c r="F36" i="1"/>
  <c r="F28" i="1" l="1"/>
  <c r="G39" i="1" l="1"/>
  <c r="G38" i="1" l="1"/>
  <c r="G37" i="1" l="1"/>
  <c r="G36" i="1"/>
  <c r="G34" i="1"/>
  <c r="G33" i="1" l="1"/>
  <c r="G31" i="1"/>
  <c r="G30" i="1"/>
  <c r="G29" i="1"/>
  <c r="G28" i="1" l="1"/>
  <c r="G26" i="1"/>
  <c r="G25" i="1"/>
  <c r="G24" i="1"/>
  <c r="G22" i="1"/>
  <c r="G20" i="1"/>
  <c r="G19" i="1"/>
  <c r="G23" i="1" l="1"/>
  <c r="G17" i="1"/>
  <c r="G16" i="1"/>
  <c r="G15" i="1" l="1"/>
  <c r="G14" i="1"/>
  <c r="G12" i="1"/>
  <c r="G11" i="1" l="1"/>
  <c r="G10" i="1" s="1"/>
  <c r="F35" i="1" l="1"/>
  <c r="G35" i="1"/>
  <c r="F27" i="1"/>
  <c r="G27" i="1"/>
  <c r="G18" i="1" l="1"/>
  <c r="G41" i="1" s="1"/>
  <c r="G43" i="1" s="1"/>
  <c r="F18" i="1"/>
  <c r="F41" i="1" s="1"/>
  <c r="E18" i="1"/>
  <c r="E23" i="1" l="1"/>
  <c r="E41" i="1" s="1"/>
  <c r="D7" i="1"/>
  <c r="E6" i="1"/>
  <c r="F6" i="1" s="1"/>
  <c r="E5" i="1"/>
  <c r="F5" i="1" s="1"/>
  <c r="E43" i="1" l="1"/>
  <c r="H21" i="1"/>
  <c r="H13" i="1"/>
  <c r="H32" i="1"/>
  <c r="H25" i="1"/>
  <c r="H42" i="1"/>
  <c r="H34" i="1"/>
  <c r="H29" i="1"/>
  <c r="H17" i="1"/>
  <c r="H40" i="1"/>
  <c r="H38" i="1"/>
  <c r="H33" i="1"/>
  <c r="H28" i="1"/>
  <c r="H16" i="1"/>
  <c r="H39" i="1"/>
  <c r="H31" i="1"/>
  <c r="H20" i="1"/>
  <c r="H37" i="1"/>
  <c r="H36" i="1"/>
  <c r="H30" i="1"/>
  <c r="H22" i="1"/>
  <c r="H19" i="1"/>
  <c r="H11" i="1"/>
  <c r="H12" i="1"/>
  <c r="F43" i="1"/>
  <c r="F7" i="1"/>
  <c r="E7" i="1"/>
  <c r="H14" i="1"/>
  <c r="H26" i="1"/>
  <c r="H15" i="1"/>
  <c r="H24" i="1"/>
  <c r="H23" i="1" l="1"/>
  <c r="H18" i="1"/>
  <c r="H35" i="1"/>
  <c r="H10" i="1"/>
  <c r="H27" i="1"/>
  <c r="H41" i="1" l="1"/>
  <c r="H43" i="1" s="1"/>
</calcChain>
</file>

<file path=xl/sharedStrings.xml><?xml version="1.0" encoding="utf-8"?>
<sst xmlns="http://schemas.openxmlformats.org/spreadsheetml/2006/main" count="85" uniqueCount="84">
  <si>
    <t xml:space="preserve"> Утверждена решением общего собрания членов СНТ " Штиль" от ________________________</t>
  </si>
  <si>
    <t>Статьи доходов</t>
  </si>
  <si>
    <t>Тариф, руб./кв.м.</t>
  </si>
  <si>
    <t>Площадь помещений, кв.м</t>
  </si>
  <si>
    <t>Ежемесячная сумма дохода, руб.</t>
  </si>
  <si>
    <t>Годовая сумма дохода, руб.</t>
  </si>
  <si>
    <t>ИТОГО ДОХОДОВ</t>
  </si>
  <si>
    <t>Статьи расходов (наименование работ, услуг)</t>
  </si>
  <si>
    <t>Запланировано на год</t>
  </si>
  <si>
    <t>Принято к учету тарифа с учетом переходящих остатков</t>
  </si>
  <si>
    <t>Тариф для собственников жилых и нежилых помещений</t>
  </si>
  <si>
    <t>Управление многоквартирным домом</t>
  </si>
  <si>
    <t>Банковское обслуживание</t>
  </si>
  <si>
    <t>Организация работ по предоставлению информации в электронном виде. Передача отчетности, размещение информации в ГИС ЖКХ, ведение сайта, обслуживание бухгалтерской программы, ключ электронной подписи.</t>
  </si>
  <si>
    <t>Обслуживание оргтехники, заправка катриджей, канцелярские товары, почтовые расходы, услуги связи,транспортные расходы</t>
  </si>
  <si>
    <t>Работы по содержанию общего имущества  МКД</t>
  </si>
  <si>
    <t>Уборка помещений, входящих в состав общего имущества. ФОТ уборщицы с налогами и отпускными. Моющие средства и инвентарь для уборки помещений.</t>
  </si>
  <si>
    <t>Дератизация, дезинсекция</t>
  </si>
  <si>
    <t>Материалы для ремонта МОП и Вспомогательные средства.</t>
  </si>
  <si>
    <t xml:space="preserve">Работы по содержанию земельного участка </t>
  </si>
  <si>
    <t>Вывоз елок, мусора и снега, закуп песка, озеленение</t>
  </si>
  <si>
    <t>Техническое обслуживание</t>
  </si>
  <si>
    <t>Аварийное обслуживание дома, диспетчерская служба, дежурный слесарь.</t>
  </si>
  <si>
    <t>Техническое обслуживание лифтов в том числе, освидетельствование лифтов</t>
  </si>
  <si>
    <t>Страхование лифтов</t>
  </si>
  <si>
    <t>Техническое обслуживание ворот, калитки, домофонной трубки</t>
  </si>
  <si>
    <t>Техническое обслуживание систем водоснабжения (холодного и горячего), отопления, водоотведения, электрооборудования.</t>
  </si>
  <si>
    <t>Техническое обслуживание систем водоснабжения. ФОТ слесаря-сентехника с налогами и отпускными.</t>
  </si>
  <si>
    <t>Техническое обслуживание системы электроснабжения. ФОТ электрика.</t>
  </si>
  <si>
    <t>Материалы для водоснабжения, электрооборудования, водоотведения.</t>
  </si>
  <si>
    <t>Тариф общий</t>
  </si>
  <si>
    <t>ОДН эл/энергия + вода+ тепловые потери от стены дома до ПУ</t>
  </si>
  <si>
    <t>Проведение текущего ремонта общего имущества МКД</t>
  </si>
  <si>
    <t xml:space="preserve">Всего общий тариф </t>
  </si>
  <si>
    <t>Площадь жилые + нежилые</t>
  </si>
  <si>
    <t>Организация работ по содержанию и ремонту общего имущества. ФОТ с налогами и отпускными:  председателя</t>
  </si>
  <si>
    <t>Организация работ по содержанию и ремонту общего имущества. ФОТ с налогами и отпускными: управляющего.</t>
  </si>
  <si>
    <t>Организация работ по содержанию и ремонту общего имущества. ФОТ с налогами и отпускными: бухгалтера</t>
  </si>
  <si>
    <t>1.</t>
  </si>
  <si>
    <t>1.1</t>
  </si>
  <si>
    <t>1.2</t>
  </si>
  <si>
    <t>1.3</t>
  </si>
  <si>
    <t>1.4</t>
  </si>
  <si>
    <t>1.5</t>
  </si>
  <si>
    <t>1.6</t>
  </si>
  <si>
    <t>1.7</t>
  </si>
  <si>
    <t>2.</t>
  </si>
  <si>
    <t xml:space="preserve"> Оплата работ и услуг по содержанию и ремонту общего имущества 
в многоквартирном доме для собственников жилых помещений</t>
  </si>
  <si>
    <t xml:space="preserve"> Оплата работ и услуг по содержанию и ремонту общего имущества 
в многоквартирном доме для собственников нежилых помещений</t>
  </si>
  <si>
    <t>2.1</t>
  </si>
  <si>
    <t>2.2</t>
  </si>
  <si>
    <t>2.3</t>
  </si>
  <si>
    <t>3.</t>
  </si>
  <si>
    <t>3.1</t>
  </si>
  <si>
    <t>3.2</t>
  </si>
  <si>
    <t>4.</t>
  </si>
  <si>
    <t>4.1</t>
  </si>
  <si>
    <t>Председатель правления ТСН "Штиль"                                              Д.А.Иванов</t>
  </si>
  <si>
    <t>4.2</t>
  </si>
  <si>
    <t>4.3</t>
  </si>
  <si>
    <t>4.4</t>
  </si>
  <si>
    <t>4.5</t>
  </si>
  <si>
    <t>4.6</t>
  </si>
  <si>
    <t>6.</t>
  </si>
  <si>
    <t>7.</t>
  </si>
  <si>
    <t>8.</t>
  </si>
  <si>
    <t>ФОТ дворника с налогами и отпускными</t>
  </si>
  <si>
    <t>Обслуживание внутридомового газового оборудования, обслуживание систем вентиляции</t>
  </si>
  <si>
    <t>Премиальный фонд рабочих</t>
  </si>
  <si>
    <t>3.3</t>
  </si>
  <si>
    <t xml:space="preserve"> Благоустройство придомовой территории, субботник, инвентарь</t>
  </si>
  <si>
    <t>4.7</t>
  </si>
  <si>
    <t>5.</t>
  </si>
  <si>
    <t>5.1</t>
  </si>
  <si>
    <t>5.2</t>
  </si>
  <si>
    <t>5.3</t>
  </si>
  <si>
    <t>2.4</t>
  </si>
  <si>
    <t>ПЛАНОВАЯ СМЕТА РАСХОДОВ НА  СОДЕРЖАНИЕ И РЕМОНТ ОБЩЕГО ИМУЩЕСТВА МКД ТСН " Штиль" В 2024 ГОДУ</t>
  </si>
  <si>
    <t>ПЛАНОВАЯ СМЕТА ДОХОДОВ ТСН "Штиль" НА  2024 год</t>
  </si>
  <si>
    <t>Неизрасходованные средства прошлых лет 2023г</t>
  </si>
  <si>
    <t>Техничечкое обследование стены здания суд.экспертиза</t>
  </si>
  <si>
    <t>Организация работ по содержанию и ремонту общего имущества. ФОТ с налогами и отпускными: юриста</t>
  </si>
  <si>
    <t>Обслуживание повысительных насосных станций (2 шт)</t>
  </si>
  <si>
    <t>Обслуживание общедомовых ПУ тепловой энергии. Поверка общедомовых приборов учета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</si>
</sst>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р_."/>
  </numFmts>
  <fonts count="1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indexed="8"/>
      <name val="Calibri"/>
      <family val="2"/>
      <charset val="204"/>
    </font>
    <font>
      <b/>
      <sz val="9"/>
      <color indexed="8"/>
      <name val="Calibri"/>
      <family val="2"/>
      <charset val="204"/>
    </font>
    <font>
      <sz val="8"/>
      <color indexed="8"/>
      <name val="Calibri"/>
      <family val="2"/>
      <charset val="204"/>
    </font>
    <font>
      <b/>
      <sz val="8"/>
      <color indexed="8"/>
      <name val="Calibri"/>
      <family val="2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sz val="9"/>
      <color indexed="8"/>
      <name val="Calibri"/>
      <family val="2"/>
      <charset val="204"/>
    </font>
    <font>
      <b/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9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77">
    <xf numFmtId="0" fontId="0" fillId="0" borderId="0" xfId="0"/>
    <xf numFmtId="164" fontId="3" fillId="0" borderId="2" xfId="0" applyNumberFormat="1" applyFont="1" applyBorder="1" applyAlignment="1">
      <alignment horizontal="center" vertical="center" wrapText="1"/>
    </xf>
    <xf numFmtId="164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Border="1"/>
    <xf numFmtId="164" fontId="4" fillId="2" borderId="2" xfId="0" applyNumberFormat="1" applyFont="1" applyFill="1" applyBorder="1" applyAlignment="1">
      <alignment wrapText="1"/>
    </xf>
    <xf numFmtId="164" fontId="4" fillId="2" borderId="2" xfId="0" applyNumberFormat="1" applyFont="1" applyFill="1" applyBorder="1" applyAlignment="1">
      <alignment horizontal="left" wrapText="1"/>
    </xf>
    <xf numFmtId="164" fontId="0" fillId="0" borderId="0" xfId="0" applyNumberFormat="1"/>
    <xf numFmtId="164" fontId="5" fillId="3" borderId="2" xfId="0" applyNumberFormat="1" applyFont="1" applyFill="1" applyBorder="1" applyAlignment="1">
      <alignment wrapText="1"/>
    </xf>
    <xf numFmtId="164" fontId="5" fillId="3" borderId="2" xfId="0" applyNumberFormat="1" applyFont="1" applyFill="1" applyBorder="1" applyAlignment="1">
      <alignment horizontal="left" wrapText="1"/>
    </xf>
    <xf numFmtId="164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wrapText="1"/>
    </xf>
    <xf numFmtId="164" fontId="3" fillId="0" borderId="2" xfId="0" applyNumberFormat="1" applyFont="1" applyFill="1" applyBorder="1" applyAlignment="1">
      <alignment horizontal="center" vertical="center" wrapText="1"/>
    </xf>
    <xf numFmtId="2" fontId="2" fillId="0" borderId="2" xfId="0" applyNumberFormat="1" applyFont="1" applyFill="1" applyBorder="1"/>
    <xf numFmtId="0" fontId="0" fillId="0" borderId="5" xfId="0" applyBorder="1" applyAlignment="1">
      <alignment vertical="center" wrapText="1"/>
    </xf>
    <xf numFmtId="164" fontId="2" fillId="0" borderId="2" xfId="0" applyNumberFormat="1" applyFont="1" applyBorder="1" applyAlignment="1">
      <alignment horizontal="center" wrapText="1"/>
    </xf>
    <xf numFmtId="2" fontId="2" fillId="0" borderId="2" xfId="0" applyNumberFormat="1" applyFont="1" applyBorder="1"/>
    <xf numFmtId="0" fontId="0" fillId="0" borderId="5" xfId="0" applyBorder="1" applyAlignment="1">
      <alignment wrapText="1"/>
    </xf>
    <xf numFmtId="0" fontId="0" fillId="0" borderId="2" xfId="0" applyBorder="1" applyAlignment="1">
      <alignment wrapText="1"/>
    </xf>
    <xf numFmtId="164" fontId="3" fillId="0" borderId="2" xfId="0" applyNumberFormat="1" applyFont="1" applyBorder="1" applyAlignment="1">
      <alignment horizontal="center" wrapText="1"/>
    </xf>
    <xf numFmtId="2" fontId="3" fillId="0" borderId="2" xfId="0" applyNumberFormat="1" applyFont="1" applyBorder="1"/>
    <xf numFmtId="0" fontId="0" fillId="0" borderId="2" xfId="0" applyBorder="1" applyAlignment="1">
      <alignment vertical="center" wrapText="1"/>
    </xf>
    <xf numFmtId="164" fontId="2" fillId="0" borderId="2" xfId="0" applyNumberFormat="1" applyFont="1" applyFill="1" applyBorder="1" applyAlignment="1">
      <alignment horizontal="center" wrapText="1"/>
    </xf>
    <xf numFmtId="0" fontId="1" fillId="0" borderId="5" xfId="0" applyFont="1" applyBorder="1" applyAlignment="1">
      <alignment vertical="center" wrapText="1"/>
    </xf>
    <xf numFmtId="164" fontId="3" fillId="0" borderId="2" xfId="0" applyNumberFormat="1" applyFont="1" applyFill="1" applyBorder="1" applyAlignment="1">
      <alignment horizontal="center" wrapText="1"/>
    </xf>
    <xf numFmtId="164" fontId="8" fillId="0" borderId="2" xfId="0" applyNumberFormat="1" applyFont="1" applyBorder="1" applyAlignment="1">
      <alignment horizontal="center" vertical="center"/>
    </xf>
    <xf numFmtId="164" fontId="8" fillId="0" borderId="2" xfId="0" applyNumberFormat="1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wrapText="1"/>
    </xf>
    <xf numFmtId="0" fontId="10" fillId="0" borderId="2" xfId="0" applyFont="1" applyBorder="1" applyAlignment="1">
      <alignment vertical="center" wrapText="1"/>
    </xf>
    <xf numFmtId="164" fontId="3" fillId="0" borderId="2" xfId="0" applyNumberFormat="1" applyFont="1" applyBorder="1" applyAlignment="1">
      <alignment horizontal="right" wrapText="1"/>
    </xf>
    <xf numFmtId="164" fontId="3" fillId="0" borderId="2" xfId="0" applyNumberFormat="1" applyFont="1" applyBorder="1" applyAlignment="1">
      <alignment horizontal="right" vertical="center" wrapText="1"/>
    </xf>
    <xf numFmtId="164" fontId="8" fillId="2" borderId="2" xfId="0" applyNumberFormat="1" applyFont="1" applyFill="1" applyBorder="1" applyAlignment="1">
      <alignment horizontal="left" wrapText="1"/>
    </xf>
    <xf numFmtId="4" fontId="0" fillId="0" borderId="0" xfId="0" applyNumberFormat="1"/>
    <xf numFmtId="164" fontId="3" fillId="0" borderId="5" xfId="0" applyNumberFormat="1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horizontal="right" vertical="center" wrapText="1"/>
    </xf>
    <xf numFmtId="0" fontId="0" fillId="0" borderId="1" xfId="0" applyBorder="1"/>
    <xf numFmtId="164" fontId="3" fillId="0" borderId="0" xfId="0" applyNumberFormat="1" applyFont="1" applyFill="1" applyBorder="1" applyAlignment="1">
      <alignment horizontal="center" wrapText="1"/>
    </xf>
    <xf numFmtId="0" fontId="0" fillId="0" borderId="2" xfId="0" applyBorder="1"/>
    <xf numFmtId="0" fontId="0" fillId="0" borderId="2" xfId="0" applyBorder="1" applyAlignment="1">
      <alignment horizontal="center"/>
    </xf>
    <xf numFmtId="49" fontId="0" fillId="0" borderId="2" xfId="0" applyNumberForma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1" fillId="0" borderId="2" xfId="0" applyFont="1" applyBorder="1" applyAlignment="1">
      <alignment horizontal="center" wrapText="1"/>
    </xf>
    <xf numFmtId="0" fontId="9" fillId="0" borderId="2" xfId="0" applyFont="1" applyBorder="1" applyAlignment="1">
      <alignment horizontal="center" wrapText="1"/>
    </xf>
    <xf numFmtId="0" fontId="10" fillId="0" borderId="2" xfId="0" applyFont="1" applyBorder="1" applyAlignment="1">
      <alignment horizontal="center" wrapText="1"/>
    </xf>
    <xf numFmtId="164" fontId="3" fillId="0" borderId="2" xfId="0" applyNumberFormat="1" applyFont="1" applyBorder="1" applyAlignment="1">
      <alignment horizontal="center" vertical="center" wrapText="1"/>
    </xf>
    <xf numFmtId="164" fontId="15" fillId="0" borderId="2" xfId="0" applyNumberFormat="1" applyFont="1" applyFill="1" applyBorder="1" applyAlignment="1">
      <alignment horizontal="center" wrapText="1"/>
    </xf>
    <xf numFmtId="0" fontId="12" fillId="0" borderId="6" xfId="0" applyFont="1" applyBorder="1" applyAlignment="1">
      <alignment horizontal="center" wrapText="1"/>
    </xf>
    <xf numFmtId="164" fontId="8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wrapText="1"/>
    </xf>
    <xf numFmtId="0" fontId="0" fillId="0" borderId="2" xfId="0" applyBorder="1" applyAlignment="1">
      <alignment wrapText="1"/>
    </xf>
    <xf numFmtId="0" fontId="13" fillId="0" borderId="2" xfId="0" applyFont="1" applyBorder="1" applyAlignment="1">
      <alignment wrapText="1"/>
    </xf>
    <xf numFmtId="0" fontId="14" fillId="0" borderId="2" xfId="0" applyFont="1" applyBorder="1" applyAlignment="1">
      <alignment wrapText="1"/>
    </xf>
    <xf numFmtId="0" fontId="7" fillId="0" borderId="2" xfId="0" applyFont="1" applyBorder="1" applyAlignment="1">
      <alignment wrapText="1"/>
    </xf>
    <xf numFmtId="0" fontId="7" fillId="0" borderId="2" xfId="0" applyFont="1" applyBorder="1" applyAlignment="1">
      <alignment horizontal="justify" vertical="center" wrapText="1"/>
    </xf>
    <xf numFmtId="0" fontId="0" fillId="0" borderId="2" xfId="0" applyBorder="1" applyAlignment="1">
      <alignment vertical="center" wrapText="1"/>
    </xf>
    <xf numFmtId="0" fontId="6" fillId="0" borderId="3" xfId="0" applyFont="1" applyBorder="1" applyAlignment="1">
      <alignment horizontal="justify" vertical="center" wrapText="1"/>
    </xf>
    <xf numFmtId="0" fontId="1" fillId="0" borderId="4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164" fontId="2" fillId="0" borderId="1" xfId="0" applyNumberFormat="1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 wrapText="1"/>
    </xf>
    <xf numFmtId="0" fontId="0" fillId="0" borderId="0" xfId="0" applyAlignment="1"/>
    <xf numFmtId="0" fontId="2" fillId="0" borderId="1" xfId="0" applyFont="1" applyFill="1" applyBorder="1" applyAlignment="1">
      <alignment vertical="center" wrapText="1"/>
    </xf>
    <xf numFmtId="164" fontId="3" fillId="0" borderId="0" xfId="0" applyNumberFormat="1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164" fontId="3" fillId="0" borderId="5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wrapText="1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13" fillId="0" borderId="4" xfId="0" applyFont="1" applyBorder="1" applyAlignment="1">
      <alignment horizontal="justify" vertical="center" wrapText="1"/>
    </xf>
    <xf numFmtId="0" fontId="14" fillId="0" borderId="4" xfId="0" applyFont="1" applyBorder="1" applyAlignment="1">
      <alignment vertical="center" wrapText="1"/>
    </xf>
    <xf numFmtId="0" fontId="14" fillId="0" borderId="5" xfId="0" applyFont="1" applyBorder="1" applyAlignment="1">
      <alignment vertical="center" wrapText="1"/>
    </xf>
    <xf numFmtId="0" fontId="13" fillId="0" borderId="4" xfId="0" applyFont="1" applyBorder="1" applyAlignment="1">
      <alignment wrapText="1"/>
    </xf>
    <xf numFmtId="0" fontId="14" fillId="0" borderId="4" xfId="0" applyFont="1" applyBorder="1" applyAlignment="1">
      <alignment wrapText="1"/>
    </xf>
    <xf numFmtId="0" fontId="14" fillId="0" borderId="5" xfId="0" applyFont="1" applyBorder="1" applyAlignment="1">
      <alignment wrapText="1"/>
    </xf>
    <xf numFmtId="0" fontId="13" fillId="0" borderId="5" xfId="0" applyFont="1" applyBorder="1" applyAlignment="1">
      <alignment wrapText="1"/>
    </xf>
    <xf numFmtId="0" fontId="7" fillId="0" borderId="5" xfId="0" applyFont="1" applyBorder="1" applyAlignment="1">
      <alignment wrapText="1"/>
    </xf>
    <xf numFmtId="0" fontId="6" fillId="0" borderId="5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4"/>
  <sheetViews>
    <sheetView tabSelected="1" zoomScale="95" zoomScaleNormal="95" workbookViewId="0">
      <selection activeCell="I31" sqref="I31"/>
    </sheetView>
  </sheetViews>
  <sheetFormatPr defaultRowHeight="14.4" x14ac:dyDescent="0.3"/>
  <cols>
    <col min="1" max="1" width="5.6640625" customWidth="1"/>
    <col min="2" max="2" width="52.6640625" customWidth="1"/>
    <col min="3" max="3" width="9.33203125" bestFit="1" customWidth="1"/>
    <col min="5" max="5" width="11.44140625" customWidth="1"/>
    <col min="6" max="7" width="13" customWidth="1"/>
    <col min="8" max="8" width="11.33203125" customWidth="1"/>
    <col min="9" max="9" width="13.33203125" bestFit="1" customWidth="1"/>
    <col min="10" max="10" width="9.5546875" bestFit="1" customWidth="1"/>
    <col min="12" max="12" width="10.5546875" bestFit="1" customWidth="1"/>
  </cols>
  <sheetData>
    <row r="1" spans="1:9" x14ac:dyDescent="0.3">
      <c r="B1" s="58" t="s">
        <v>0</v>
      </c>
      <c r="C1" s="59"/>
      <c r="D1" s="59"/>
      <c r="E1" s="59"/>
      <c r="F1" s="59"/>
      <c r="G1" s="59"/>
      <c r="H1" s="60"/>
    </row>
    <row r="2" spans="1:9" x14ac:dyDescent="0.3">
      <c r="B2" s="61"/>
      <c r="C2" s="59"/>
      <c r="D2" s="59"/>
      <c r="E2" s="59"/>
      <c r="F2" s="59"/>
      <c r="G2" s="59"/>
      <c r="H2" s="60"/>
    </row>
    <row r="3" spans="1:9" x14ac:dyDescent="0.3">
      <c r="B3" s="62" t="s">
        <v>78</v>
      </c>
      <c r="C3" s="62"/>
      <c r="D3" s="62"/>
      <c r="E3" s="62"/>
      <c r="F3" s="62"/>
      <c r="G3" s="62"/>
      <c r="H3" s="60"/>
    </row>
    <row r="4" spans="1:9" ht="36" x14ac:dyDescent="0.3">
      <c r="A4" s="37"/>
      <c r="B4" s="1" t="s">
        <v>1</v>
      </c>
      <c r="C4" s="2" t="s">
        <v>2</v>
      </c>
      <c r="D4" s="2" t="s">
        <v>3</v>
      </c>
      <c r="E4" s="2" t="s">
        <v>4</v>
      </c>
      <c r="F4" s="2" t="s">
        <v>5</v>
      </c>
      <c r="G4" s="2"/>
      <c r="H4" s="3"/>
    </row>
    <row r="5" spans="1:9" ht="23.25" customHeight="1" x14ac:dyDescent="0.3">
      <c r="A5" s="38" t="s">
        <v>38</v>
      </c>
      <c r="B5" s="4" t="s">
        <v>47</v>
      </c>
      <c r="C5" s="5">
        <v>25.5</v>
      </c>
      <c r="D5" s="5">
        <v>15549.7</v>
      </c>
      <c r="E5" s="5">
        <f>SUM(C5*D5)</f>
        <v>396517.35000000003</v>
      </c>
      <c r="F5" s="5">
        <f>SUM(E5)*12</f>
        <v>4758208.2</v>
      </c>
      <c r="G5" s="5"/>
      <c r="H5" s="3"/>
    </row>
    <row r="6" spans="1:9" ht="22.5" customHeight="1" x14ac:dyDescent="0.3">
      <c r="A6" s="38" t="s">
        <v>46</v>
      </c>
      <c r="B6" s="4" t="s">
        <v>48</v>
      </c>
      <c r="C6" s="5">
        <v>25.5</v>
      </c>
      <c r="D6" s="5">
        <v>1518.2</v>
      </c>
      <c r="E6" s="5">
        <f>SUM(C6*D6)</f>
        <v>38714.1</v>
      </c>
      <c r="F6" s="5">
        <f>SUM(E6)*12</f>
        <v>464569.19999999995</v>
      </c>
      <c r="G6" s="5"/>
      <c r="H6" s="3"/>
      <c r="I6" s="6"/>
    </row>
    <row r="7" spans="1:9" x14ac:dyDescent="0.3">
      <c r="A7" s="37"/>
      <c r="B7" s="7" t="s">
        <v>6</v>
      </c>
      <c r="C7" s="8"/>
      <c r="D7" s="8">
        <f>SUM(D5:D6)</f>
        <v>17067.900000000001</v>
      </c>
      <c r="E7" s="8">
        <f>SUM(E5:E6)</f>
        <v>435231.45</v>
      </c>
      <c r="F7" s="8">
        <f>SUM(F5:F6)</f>
        <v>5222777.4000000004</v>
      </c>
      <c r="G7" s="8"/>
      <c r="H7" s="3"/>
    </row>
    <row r="8" spans="1:9" x14ac:dyDescent="0.3">
      <c r="B8" s="63" t="s">
        <v>77</v>
      </c>
      <c r="C8" s="63"/>
      <c r="D8" s="63"/>
      <c r="E8" s="63"/>
      <c r="F8" s="63"/>
      <c r="G8" s="63"/>
      <c r="H8" s="3"/>
    </row>
    <row r="9" spans="1:9" ht="60.6" x14ac:dyDescent="0.3">
      <c r="A9" s="37"/>
      <c r="B9" s="64" t="s">
        <v>7</v>
      </c>
      <c r="C9" s="63"/>
      <c r="D9" s="63"/>
      <c r="E9" s="44" t="s">
        <v>79</v>
      </c>
      <c r="F9" s="9" t="s">
        <v>8</v>
      </c>
      <c r="G9" s="9" t="s">
        <v>9</v>
      </c>
      <c r="H9" s="10" t="s">
        <v>10</v>
      </c>
    </row>
    <row r="10" spans="1:9" x14ac:dyDescent="0.3">
      <c r="A10" s="40" t="s">
        <v>38</v>
      </c>
      <c r="B10" s="65" t="s">
        <v>11</v>
      </c>
      <c r="C10" s="66"/>
      <c r="D10" s="67"/>
      <c r="E10" s="11">
        <f>E14+E15+E16+E17</f>
        <v>0</v>
      </c>
      <c r="F10" s="11">
        <f>F11+F12+F14+F15+F16+F17+F13</f>
        <v>1565298.7183999999</v>
      </c>
      <c r="G10" s="11">
        <f>G11+G12+G14+G15+G16+G17+G13</f>
        <v>1565298.7183999999</v>
      </c>
      <c r="H10" s="34">
        <f>SUM(H11:H17)</f>
        <v>7.6425078578305854</v>
      </c>
    </row>
    <row r="11" spans="1:9" ht="23.25" customHeight="1" x14ac:dyDescent="0.3">
      <c r="A11" s="39" t="s">
        <v>39</v>
      </c>
      <c r="B11" s="68" t="s">
        <v>35</v>
      </c>
      <c r="C11" s="69"/>
      <c r="D11" s="70"/>
      <c r="E11" s="33"/>
      <c r="F11" s="21">
        <f>19242*1.15*12*1.302</f>
        <v>345732.55919999996</v>
      </c>
      <c r="G11" s="21">
        <f t="shared" ref="G11:G17" si="0">SUM(F11-E11)</f>
        <v>345732.55919999996</v>
      </c>
      <c r="H11" s="15">
        <f>G11/D7/12</f>
        <v>1.6880252755171987</v>
      </c>
    </row>
    <row r="12" spans="1:9" ht="27" customHeight="1" x14ac:dyDescent="0.3">
      <c r="A12" s="39" t="s">
        <v>40</v>
      </c>
      <c r="B12" s="68" t="s">
        <v>36</v>
      </c>
      <c r="C12" s="69"/>
      <c r="D12" s="70"/>
      <c r="E12" s="33"/>
      <c r="F12" s="21">
        <f>(19242+3000)*1.15*12*1.302</f>
        <v>399635.35920000001</v>
      </c>
      <c r="G12" s="21">
        <f t="shared" si="0"/>
        <v>399635.35920000001</v>
      </c>
      <c r="H12" s="15">
        <f>G12/D7/12</f>
        <v>1.9512035224017013</v>
      </c>
    </row>
    <row r="13" spans="1:9" ht="27" customHeight="1" x14ac:dyDescent="0.3">
      <c r="A13" s="39" t="s">
        <v>41</v>
      </c>
      <c r="B13" s="68" t="s">
        <v>81</v>
      </c>
      <c r="C13" s="69"/>
      <c r="D13" s="70"/>
      <c r="E13" s="33"/>
      <c r="F13" s="14">
        <f>10000*1.15*12*1.302</f>
        <v>179676</v>
      </c>
      <c r="G13" s="21">
        <f t="shared" si="0"/>
        <v>179676</v>
      </c>
      <c r="H13" s="15">
        <f>G13/D7/12</f>
        <v>0.87726082294834151</v>
      </c>
    </row>
    <row r="14" spans="1:9" ht="31.5" customHeight="1" x14ac:dyDescent="0.3">
      <c r="A14" s="39" t="s">
        <v>42</v>
      </c>
      <c r="B14" s="68" t="s">
        <v>37</v>
      </c>
      <c r="C14" s="69"/>
      <c r="D14" s="70"/>
      <c r="E14" s="13">
        <v>0</v>
      </c>
      <c r="F14" s="14">
        <f>23000*1.15*12*1.302</f>
        <v>413254.79999999993</v>
      </c>
      <c r="G14" s="21">
        <f t="shared" si="0"/>
        <v>413254.79999999993</v>
      </c>
      <c r="H14" s="15">
        <f>G14/D7/12</f>
        <v>2.0176998927811853</v>
      </c>
    </row>
    <row r="15" spans="1:9" ht="14.25" customHeight="1" x14ac:dyDescent="0.3">
      <c r="A15" s="39" t="s">
        <v>43</v>
      </c>
      <c r="B15" s="71" t="s">
        <v>12</v>
      </c>
      <c r="C15" s="72"/>
      <c r="D15" s="73"/>
      <c r="E15" s="16">
        <v>0</v>
      </c>
      <c r="F15" s="14">
        <v>90000</v>
      </c>
      <c r="G15" s="2">
        <f t="shared" si="0"/>
        <v>90000</v>
      </c>
      <c r="H15" s="15">
        <f>G15/D7/12</f>
        <v>0.43942136994006287</v>
      </c>
    </row>
    <row r="16" spans="1:9" ht="42" customHeight="1" x14ac:dyDescent="0.3">
      <c r="A16" s="39" t="s">
        <v>44</v>
      </c>
      <c r="B16" s="74" t="s">
        <v>13</v>
      </c>
      <c r="C16" s="51"/>
      <c r="D16" s="51"/>
      <c r="E16" s="17">
        <v>0</v>
      </c>
      <c r="F16" s="14">
        <v>107000</v>
      </c>
      <c r="G16" s="21">
        <f t="shared" si="0"/>
        <v>107000</v>
      </c>
      <c r="H16" s="15">
        <f>G16/D7/12</f>
        <v>0.52242318426207479</v>
      </c>
    </row>
    <row r="17" spans="1:8" ht="32.25" customHeight="1" x14ac:dyDescent="0.3">
      <c r="A17" s="39" t="s">
        <v>45</v>
      </c>
      <c r="B17" s="75" t="s">
        <v>14</v>
      </c>
      <c r="C17" s="49"/>
      <c r="D17" s="49"/>
      <c r="E17" s="27">
        <v>0</v>
      </c>
      <c r="F17" s="14">
        <v>30000</v>
      </c>
      <c r="G17" s="21">
        <f t="shared" si="0"/>
        <v>30000</v>
      </c>
      <c r="H17" s="15">
        <f>G17/D7/12</f>
        <v>0.14647378998002095</v>
      </c>
    </row>
    <row r="18" spans="1:8" ht="18" customHeight="1" x14ac:dyDescent="0.3">
      <c r="A18" s="40">
        <v>2</v>
      </c>
      <c r="B18" s="76" t="s">
        <v>15</v>
      </c>
      <c r="C18" s="49"/>
      <c r="D18" s="49"/>
      <c r="E18" s="18">
        <f>SUM(E19:E22)</f>
        <v>0</v>
      </c>
      <c r="F18" s="18">
        <f>SUM(F19:F22)</f>
        <v>554227.79999999993</v>
      </c>
      <c r="G18" s="18">
        <f>SUM(G19:G22)</f>
        <v>554227.79999999993</v>
      </c>
      <c r="H18" s="29">
        <f>SUM(H19:H22)</f>
        <v>2.7059948792763016</v>
      </c>
    </row>
    <row r="19" spans="1:8" ht="27.75" customHeight="1" x14ac:dyDescent="0.3">
      <c r="A19" s="39" t="s">
        <v>49</v>
      </c>
      <c r="B19" s="50" t="s">
        <v>16</v>
      </c>
      <c r="C19" s="51"/>
      <c r="D19" s="51"/>
      <c r="E19" s="17">
        <v>0</v>
      </c>
      <c r="F19" s="14">
        <f>22000*1.15*13*1.302+8000</f>
        <v>436227.79999999993</v>
      </c>
      <c r="G19" s="21">
        <f>SUM(F19-E19)</f>
        <v>436227.79999999993</v>
      </c>
      <c r="H19" s="15">
        <f>G19/D7/12</f>
        <v>2.1298646386882192</v>
      </c>
    </row>
    <row r="20" spans="1:8" x14ac:dyDescent="0.3">
      <c r="A20" s="39" t="s">
        <v>50</v>
      </c>
      <c r="B20" s="53" t="s">
        <v>17</v>
      </c>
      <c r="C20" s="54"/>
      <c r="D20" s="54"/>
      <c r="E20" s="28">
        <v>0</v>
      </c>
      <c r="F20" s="14">
        <v>3000</v>
      </c>
      <c r="G20" s="21">
        <f>SUM(F20-E20)</f>
        <v>3000</v>
      </c>
      <c r="H20" s="15">
        <f>G20/D7/12</f>
        <v>1.4647378998002095E-2</v>
      </c>
    </row>
    <row r="21" spans="1:8" x14ac:dyDescent="0.3">
      <c r="A21" s="39" t="s">
        <v>51</v>
      </c>
      <c r="B21" s="53" t="s">
        <v>80</v>
      </c>
      <c r="C21" s="54"/>
      <c r="D21" s="54"/>
      <c r="E21" s="28"/>
      <c r="F21" s="14">
        <v>100000</v>
      </c>
      <c r="G21" s="21">
        <f>SUM(F21-E21)</f>
        <v>100000</v>
      </c>
      <c r="H21" s="15">
        <f>G21/D7/12</f>
        <v>0.48824596660006986</v>
      </c>
    </row>
    <row r="22" spans="1:8" x14ac:dyDescent="0.3">
      <c r="A22" s="39" t="s">
        <v>76</v>
      </c>
      <c r="B22" s="53" t="s">
        <v>18</v>
      </c>
      <c r="C22" s="54"/>
      <c r="D22" s="54"/>
      <c r="E22" s="28">
        <v>0</v>
      </c>
      <c r="F22" s="14">
        <v>15000</v>
      </c>
      <c r="G22" s="21">
        <f>SUM(F22-E22)</f>
        <v>15000</v>
      </c>
      <c r="H22" s="15">
        <f>G22/D7/12</f>
        <v>7.3236894990010473E-2</v>
      </c>
    </row>
    <row r="23" spans="1:8" x14ac:dyDescent="0.3">
      <c r="A23" s="40" t="s">
        <v>52</v>
      </c>
      <c r="B23" s="48" t="s">
        <v>19</v>
      </c>
      <c r="C23" s="49"/>
      <c r="D23" s="49"/>
      <c r="E23" s="18">
        <f>E24+E26</f>
        <v>0</v>
      </c>
      <c r="F23" s="18">
        <f>F24+F25+F26</f>
        <v>630615.875</v>
      </c>
      <c r="G23" s="18">
        <f>G24+G25+G26</f>
        <v>630615.875</v>
      </c>
      <c r="H23" s="29">
        <f>SUM(H24:H26)</f>
        <v>3.0789565744272385</v>
      </c>
    </row>
    <row r="24" spans="1:8" ht="18" customHeight="1" x14ac:dyDescent="0.3">
      <c r="A24" s="39" t="s">
        <v>53</v>
      </c>
      <c r="B24" s="52" t="s">
        <v>70</v>
      </c>
      <c r="C24" s="49"/>
      <c r="D24" s="49"/>
      <c r="E24" s="27">
        <v>0</v>
      </c>
      <c r="F24" s="14">
        <v>29000</v>
      </c>
      <c r="G24" s="21">
        <f t="shared" ref="G24:G39" si="1">SUM(F24-E24)</f>
        <v>29000</v>
      </c>
      <c r="H24" s="15">
        <f>G24/D7/12</f>
        <v>0.14159133031402027</v>
      </c>
    </row>
    <row r="25" spans="1:8" ht="18" customHeight="1" x14ac:dyDescent="0.3">
      <c r="A25" s="39" t="s">
        <v>54</v>
      </c>
      <c r="B25" s="53" t="s">
        <v>66</v>
      </c>
      <c r="C25" s="54"/>
      <c r="D25" s="54"/>
      <c r="E25" s="27"/>
      <c r="F25" s="14">
        <f>23000*1.15*13*1.302*1.25</f>
        <v>559615.875</v>
      </c>
      <c r="G25" s="21">
        <f t="shared" si="1"/>
        <v>559615.875</v>
      </c>
      <c r="H25" s="15">
        <f>G25/D7/12</f>
        <v>2.7323019381411888</v>
      </c>
    </row>
    <row r="26" spans="1:8" x14ac:dyDescent="0.3">
      <c r="A26" s="39" t="s">
        <v>69</v>
      </c>
      <c r="B26" s="53" t="s">
        <v>20</v>
      </c>
      <c r="C26" s="54"/>
      <c r="D26" s="54"/>
      <c r="E26" s="20">
        <v>0</v>
      </c>
      <c r="F26" s="21">
        <v>42000</v>
      </c>
      <c r="G26" s="21">
        <f t="shared" si="1"/>
        <v>42000</v>
      </c>
      <c r="H26" s="12">
        <f>G26/D7/12</f>
        <v>0.20506330597202935</v>
      </c>
    </row>
    <row r="27" spans="1:8" x14ac:dyDescent="0.3">
      <c r="A27" s="40" t="s">
        <v>55</v>
      </c>
      <c r="B27" s="48" t="s">
        <v>21</v>
      </c>
      <c r="C27" s="49"/>
      <c r="D27" s="49"/>
      <c r="E27" s="18">
        <f>SUM(E28:E34)</f>
        <v>0</v>
      </c>
      <c r="F27" s="18">
        <f>SUM(F28:F34)</f>
        <v>990204.5</v>
      </c>
      <c r="G27" s="18">
        <f>SUM(G28:G34)</f>
        <v>990204.5</v>
      </c>
      <c r="H27" s="29">
        <f>SUM(H28:H34)</f>
        <v>4.834633532342389</v>
      </c>
    </row>
    <row r="28" spans="1:8" ht="30.75" customHeight="1" x14ac:dyDescent="0.3">
      <c r="A28" s="39" t="s">
        <v>56</v>
      </c>
      <c r="B28" s="52" t="s">
        <v>22</v>
      </c>
      <c r="C28" s="49"/>
      <c r="D28" s="49"/>
      <c r="E28" s="17">
        <v>0</v>
      </c>
      <c r="F28" s="21">
        <f>5000*1.15*13*1.302+1500*12</f>
        <v>115324.5</v>
      </c>
      <c r="G28" s="21">
        <f t="shared" si="1"/>
        <v>115324.5</v>
      </c>
      <c r="H28" s="15">
        <f>G28/D7/12</f>
        <v>0.5630672197516976</v>
      </c>
    </row>
    <row r="29" spans="1:8" ht="26.25" customHeight="1" x14ac:dyDescent="0.3">
      <c r="A29" s="39" t="s">
        <v>58</v>
      </c>
      <c r="B29" s="50" t="s">
        <v>67</v>
      </c>
      <c r="C29" s="51"/>
      <c r="D29" s="51"/>
      <c r="E29" s="17">
        <v>0</v>
      </c>
      <c r="F29" s="45">
        <f>20000*12</f>
        <v>240000</v>
      </c>
      <c r="G29" s="45">
        <f t="shared" si="1"/>
        <v>240000</v>
      </c>
      <c r="H29" s="15">
        <f>G29/D7/12</f>
        <v>1.1717903198401676</v>
      </c>
    </row>
    <row r="30" spans="1:8" ht="30" customHeight="1" x14ac:dyDescent="0.3">
      <c r="A30" s="39" t="s">
        <v>59</v>
      </c>
      <c r="B30" s="53" t="s">
        <v>23</v>
      </c>
      <c r="C30" s="54"/>
      <c r="D30" s="54"/>
      <c r="E30" s="20">
        <v>0</v>
      </c>
      <c r="F30" s="21">
        <f>28150*12+8000</f>
        <v>345800</v>
      </c>
      <c r="G30" s="21">
        <f t="shared" si="1"/>
        <v>345800</v>
      </c>
      <c r="H30" s="15">
        <f>G30/D7/12</f>
        <v>1.6883545525030417</v>
      </c>
    </row>
    <row r="31" spans="1:8" x14ac:dyDescent="0.3">
      <c r="A31" s="39" t="s">
        <v>60</v>
      </c>
      <c r="B31" s="52" t="s">
        <v>24</v>
      </c>
      <c r="C31" s="49"/>
      <c r="D31" s="49"/>
      <c r="E31" s="27">
        <v>0</v>
      </c>
      <c r="F31" s="21">
        <v>4000</v>
      </c>
      <c r="G31" s="21">
        <f t="shared" si="1"/>
        <v>4000</v>
      </c>
      <c r="H31" s="15">
        <f>G31/D7/12</f>
        <v>1.9529838664002794E-2</v>
      </c>
    </row>
    <row r="32" spans="1:8" ht="18" customHeight="1" x14ac:dyDescent="0.3">
      <c r="A32" s="39" t="s">
        <v>61</v>
      </c>
      <c r="B32" s="52" t="s">
        <v>82</v>
      </c>
      <c r="C32" s="49"/>
      <c r="D32" s="49"/>
      <c r="E32" s="27"/>
      <c r="F32" s="21">
        <f>7000*12</f>
        <v>84000</v>
      </c>
      <c r="G32" s="21">
        <f t="shared" si="1"/>
        <v>84000</v>
      </c>
      <c r="H32" s="15">
        <f>G32/D7/12</f>
        <v>0.41012661194405869</v>
      </c>
    </row>
    <row r="33" spans="1:12" ht="34.5" customHeight="1" x14ac:dyDescent="0.3">
      <c r="A33" s="39" t="s">
        <v>62</v>
      </c>
      <c r="B33" s="52" t="s">
        <v>83</v>
      </c>
      <c r="C33" s="49"/>
      <c r="D33" s="49"/>
      <c r="E33" s="27">
        <v>0</v>
      </c>
      <c r="F33" s="21">
        <f>8000*12+37000</f>
        <v>133000</v>
      </c>
      <c r="G33" s="21">
        <f t="shared" si="1"/>
        <v>133000</v>
      </c>
      <c r="H33" s="15">
        <f>G33/D7/12</f>
        <v>0.64936713557809289</v>
      </c>
    </row>
    <row r="34" spans="1:12" x14ac:dyDescent="0.3">
      <c r="A34" s="39" t="s">
        <v>71</v>
      </c>
      <c r="B34" s="53" t="s">
        <v>25</v>
      </c>
      <c r="C34" s="54"/>
      <c r="D34" s="54"/>
      <c r="E34" s="43">
        <v>0</v>
      </c>
      <c r="F34" s="21">
        <f>(2320+1270)*12+25000</f>
        <v>68080</v>
      </c>
      <c r="G34" s="21">
        <f t="shared" si="1"/>
        <v>68080</v>
      </c>
      <c r="H34" s="15">
        <f>G34/D7/12</f>
        <v>0.33239785406132755</v>
      </c>
    </row>
    <row r="35" spans="1:12" ht="36" customHeight="1" x14ac:dyDescent="0.3">
      <c r="A35" s="40" t="s">
        <v>72</v>
      </c>
      <c r="B35" s="48" t="s">
        <v>26</v>
      </c>
      <c r="C35" s="49"/>
      <c r="D35" s="49"/>
      <c r="E35" s="29">
        <v>0</v>
      </c>
      <c r="F35" s="18">
        <f>SUM(F36:F38)</f>
        <v>337487</v>
      </c>
      <c r="G35" s="18">
        <f>SUM(G36:G38)</f>
        <v>337487</v>
      </c>
      <c r="H35" s="29">
        <f>SUM(H36:H38)</f>
        <v>1.6477666652995777</v>
      </c>
    </row>
    <row r="36" spans="1:12" ht="27" customHeight="1" x14ac:dyDescent="0.3">
      <c r="A36" s="39" t="s">
        <v>73</v>
      </c>
      <c r="B36" s="50" t="s">
        <v>27</v>
      </c>
      <c r="C36" s="51"/>
      <c r="D36" s="51"/>
      <c r="E36" s="17">
        <v>0</v>
      </c>
      <c r="F36" s="14">
        <f>10000*1.15*13*1.302</f>
        <v>194649</v>
      </c>
      <c r="G36" s="21">
        <f t="shared" si="1"/>
        <v>194649</v>
      </c>
      <c r="H36" s="15">
        <f>G36/D7/12</f>
        <v>0.95036589152736994</v>
      </c>
    </row>
    <row r="37" spans="1:12" ht="18.75" customHeight="1" x14ac:dyDescent="0.3">
      <c r="A37" s="39" t="s">
        <v>74</v>
      </c>
      <c r="B37" s="52" t="s">
        <v>28</v>
      </c>
      <c r="C37" s="49"/>
      <c r="D37" s="49"/>
      <c r="E37" s="17">
        <v>0</v>
      </c>
      <c r="F37" s="21">
        <f>5000*1.15*12*1.302</f>
        <v>89838</v>
      </c>
      <c r="G37" s="21">
        <f t="shared" si="1"/>
        <v>89838</v>
      </c>
      <c r="H37" s="12">
        <f>G37/D7/12</f>
        <v>0.43863041147417076</v>
      </c>
    </row>
    <row r="38" spans="1:12" x14ac:dyDescent="0.3">
      <c r="A38" s="39" t="s">
        <v>75</v>
      </c>
      <c r="B38" s="53" t="s">
        <v>29</v>
      </c>
      <c r="C38" s="54"/>
      <c r="D38" s="54"/>
      <c r="E38" s="20">
        <v>0</v>
      </c>
      <c r="F38" s="14">
        <v>53000</v>
      </c>
      <c r="G38" s="21">
        <f t="shared" si="1"/>
        <v>53000</v>
      </c>
      <c r="H38" s="15">
        <f>G38/D7/12</f>
        <v>0.25877036229803702</v>
      </c>
    </row>
    <row r="39" spans="1:12" x14ac:dyDescent="0.3">
      <c r="A39" s="40" t="s">
        <v>63</v>
      </c>
      <c r="B39" s="55" t="s">
        <v>68</v>
      </c>
      <c r="C39" s="56"/>
      <c r="D39" s="57"/>
      <c r="E39" s="22">
        <v>0</v>
      </c>
      <c r="F39" s="18">
        <f>22500+179676</f>
        <v>202176</v>
      </c>
      <c r="G39" s="23">
        <f t="shared" si="1"/>
        <v>202176</v>
      </c>
      <c r="H39" s="19">
        <f>G39/D7/12</f>
        <v>0.98711616543335723</v>
      </c>
    </row>
    <row r="40" spans="1:12" x14ac:dyDescent="0.3">
      <c r="A40" s="40" t="s">
        <v>64</v>
      </c>
      <c r="B40" s="48" t="s">
        <v>32</v>
      </c>
      <c r="C40" s="49"/>
      <c r="D40" s="49"/>
      <c r="E40" s="42">
        <v>89800.51</v>
      </c>
      <c r="F40" s="18">
        <v>200000</v>
      </c>
      <c r="G40" s="23">
        <f>F40-E40</f>
        <v>110199.49</v>
      </c>
      <c r="H40" s="19">
        <f>G40/D7/12</f>
        <v>0.53804456513884735</v>
      </c>
    </row>
    <row r="41" spans="1:12" x14ac:dyDescent="0.3">
      <c r="A41" s="38"/>
      <c r="B41" s="55" t="s">
        <v>30</v>
      </c>
      <c r="C41" s="56"/>
      <c r="D41" s="57"/>
      <c r="E41" s="18">
        <f>E10+E18+E23+E27+E35+E39+E40</f>
        <v>89800.51</v>
      </c>
      <c r="F41" s="18">
        <f>F10+F18+F23+F27+F35+F39+F40</f>
        <v>4480009.8934000004</v>
      </c>
      <c r="G41" s="18">
        <f>G10+G18+G23+G27+G35+G39+G40</f>
        <v>4390209.3834000006</v>
      </c>
      <c r="H41" s="29">
        <f>H10+H18+H23+H27+H35+H39+H40</f>
        <v>21.435020239748297</v>
      </c>
      <c r="I41" s="35"/>
      <c r="J41" s="36"/>
      <c r="L41" s="32"/>
    </row>
    <row r="42" spans="1:12" x14ac:dyDescent="0.3">
      <c r="A42" s="40" t="s">
        <v>65</v>
      </c>
      <c r="B42" s="48" t="s">
        <v>31</v>
      </c>
      <c r="C42" s="49"/>
      <c r="D42" s="49"/>
      <c r="E42" s="41">
        <v>116506.84</v>
      </c>
      <c r="F42" s="23">
        <v>950000</v>
      </c>
      <c r="G42" s="23">
        <f>F42-E42</f>
        <v>833493.16</v>
      </c>
      <c r="H42" s="12">
        <f>G42/D7/12</f>
        <v>4.0694967355874674</v>
      </c>
    </row>
    <row r="43" spans="1:12" x14ac:dyDescent="0.3">
      <c r="A43" s="37"/>
      <c r="B43" s="47" t="s">
        <v>33</v>
      </c>
      <c r="C43" s="47"/>
      <c r="D43" s="47"/>
      <c r="E43" s="1">
        <f>E41+E42</f>
        <v>206307.34999999998</v>
      </c>
      <c r="F43" s="26">
        <f t="shared" ref="F43:H43" si="2">F41+F42</f>
        <v>5430009.8934000004</v>
      </c>
      <c r="G43" s="26">
        <f>G41+G42-925.14</f>
        <v>5222777.4034000011</v>
      </c>
      <c r="H43" s="30">
        <f t="shared" si="2"/>
        <v>25.504516975335765</v>
      </c>
    </row>
    <row r="44" spans="1:12" x14ac:dyDescent="0.3">
      <c r="A44" s="37"/>
      <c r="B44" s="24" t="s">
        <v>34</v>
      </c>
      <c r="C44" s="31">
        <v>15549.7</v>
      </c>
      <c r="D44" s="25">
        <v>1518.2</v>
      </c>
      <c r="E44" s="25"/>
      <c r="F44" s="9"/>
      <c r="G44" s="14"/>
      <c r="H44" s="15"/>
    </row>
    <row r="45" spans="1:12" x14ac:dyDescent="0.3">
      <c r="A45" s="37"/>
      <c r="B45" s="47"/>
      <c r="C45" s="47"/>
      <c r="D45" s="47"/>
      <c r="E45" s="25"/>
      <c r="F45" s="9"/>
      <c r="G45" s="9"/>
      <c r="H45" s="15"/>
    </row>
    <row r="46" spans="1:12" ht="18" x14ac:dyDescent="0.35">
      <c r="B46" s="46" t="s">
        <v>57</v>
      </c>
      <c r="C46" s="46"/>
      <c r="D46" s="46"/>
      <c r="E46" s="46"/>
      <c r="F46" s="46"/>
      <c r="G46" s="46"/>
      <c r="H46" s="46"/>
    </row>
    <row r="54" spans="9:9" x14ac:dyDescent="0.3">
      <c r="I54">
        <v>1</v>
      </c>
    </row>
  </sheetData>
  <mergeCells count="40">
    <mergeCell ref="B19:D19"/>
    <mergeCell ref="B1:H2"/>
    <mergeCell ref="B3:H3"/>
    <mergeCell ref="B8:G8"/>
    <mergeCell ref="B9:D9"/>
    <mergeCell ref="B10:D10"/>
    <mergeCell ref="B14:D14"/>
    <mergeCell ref="B15:D15"/>
    <mergeCell ref="B16:D16"/>
    <mergeCell ref="B17:D17"/>
    <mergeCell ref="B18:D18"/>
    <mergeCell ref="B12:D12"/>
    <mergeCell ref="B11:D11"/>
    <mergeCell ref="B13:D13"/>
    <mergeCell ref="B34:D34"/>
    <mergeCell ref="B20:D20"/>
    <mergeCell ref="B22:D22"/>
    <mergeCell ref="B23:D23"/>
    <mergeCell ref="B24:D24"/>
    <mergeCell ref="B26:D26"/>
    <mergeCell ref="B27:D27"/>
    <mergeCell ref="B28:D28"/>
    <mergeCell ref="B29:D29"/>
    <mergeCell ref="B30:D30"/>
    <mergeCell ref="B31:D31"/>
    <mergeCell ref="B33:D33"/>
    <mergeCell ref="B25:D25"/>
    <mergeCell ref="B32:D32"/>
    <mergeCell ref="B21:D21"/>
    <mergeCell ref="B46:H46"/>
    <mergeCell ref="B45:D45"/>
    <mergeCell ref="B35:D35"/>
    <mergeCell ref="B36:D36"/>
    <mergeCell ref="B37:D37"/>
    <mergeCell ref="B38:D38"/>
    <mergeCell ref="B39:D39"/>
    <mergeCell ref="B41:D41"/>
    <mergeCell ref="B42:D42"/>
    <mergeCell ref="B43:D43"/>
    <mergeCell ref="B40:D40"/>
  </mergeCells>
  <pageMargins left="0.11811023622047245" right="0.11811023622047245" top="0.15748031496062992" bottom="0.15748031496062992" header="0.31496062992125984" footer="0.31496062992125984"/>
  <pageSetup paperSize="9" scale="6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1</cp:lastModifiedBy>
  <cp:lastPrinted>2022-12-29T11:00:33Z</cp:lastPrinted>
  <dcterms:created xsi:type="dcterms:W3CDTF">2020-11-30T03:23:38Z</dcterms:created>
  <dcterms:modified xsi:type="dcterms:W3CDTF">2024-01-23T18:00:36Z</dcterms:modified>
</cp:coreProperties>
</file>