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/>
  <c r="Q14" s="1"/>
  <c r="R12"/>
  <c r="Q12" s="1"/>
  <c r="N36"/>
  <c r="N17"/>
  <c r="P36"/>
  <c r="Q11"/>
  <c r="Q10"/>
  <c r="R11"/>
  <c r="R10"/>
  <c r="R5"/>
  <c r="R6"/>
  <c r="R7"/>
  <c r="R8"/>
  <c r="R9"/>
  <c r="R4"/>
  <c r="Q5"/>
  <c r="Q6"/>
  <c r="Q7"/>
  <c r="Q8"/>
  <c r="Q9"/>
  <c r="Q4"/>
  <c r="P24"/>
  <c r="O24"/>
  <c r="N24"/>
  <c r="M24"/>
  <c r="L24"/>
  <c r="I24"/>
  <c r="H24"/>
  <c r="G24"/>
  <c r="F24"/>
  <c r="E24"/>
  <c r="K24"/>
  <c r="J24"/>
  <c r="Q30" l="1"/>
  <c r="R31"/>
  <c r="Q31" s="1"/>
  <c r="R30"/>
  <c r="P17"/>
  <c r="P35"/>
  <c r="O35"/>
  <c r="N35"/>
  <c r="M36"/>
  <c r="M35"/>
  <c r="L36"/>
  <c r="L35"/>
  <c r="K17"/>
  <c r="K35"/>
  <c r="R35" s="1"/>
  <c r="Q35" s="1"/>
  <c r="J36"/>
  <c r="J35"/>
  <c r="I35"/>
  <c r="H17"/>
  <c r="H35"/>
  <c r="G20"/>
  <c r="G35"/>
  <c r="F17"/>
  <c r="F35"/>
  <c r="E36"/>
  <c r="E29"/>
  <c r="R29" s="1"/>
  <c r="Q29" s="1"/>
  <c r="E35"/>
  <c r="Q18"/>
  <c r="R19"/>
  <c r="Q19" s="1"/>
  <c r="R18"/>
  <c r="O29"/>
  <c r="O36" s="1"/>
  <c r="N29"/>
  <c r="M29"/>
  <c r="L29"/>
  <c r="K29"/>
  <c r="K36" s="1"/>
  <c r="J29"/>
  <c r="I29"/>
  <c r="I36" s="1"/>
  <c r="H29"/>
  <c r="H36" s="1"/>
  <c r="G29"/>
  <c r="G36" s="1"/>
  <c r="F29"/>
  <c r="F36" s="1"/>
  <c r="Q28"/>
  <c r="R28"/>
  <c r="R36" l="1"/>
  <c r="R17"/>
  <c r="Q17" s="1"/>
  <c r="Q36" l="1"/>
  <c r="R37"/>
  <c r="Q22"/>
  <c r="R23"/>
  <c r="Q23" s="1"/>
  <c r="R22"/>
  <c r="Q32"/>
  <c r="R32"/>
  <c r="R33"/>
  <c r="Q33" s="1"/>
  <c r="Q26"/>
  <c r="R24"/>
  <c r="Q24" s="1"/>
  <c r="R26"/>
  <c r="Q21"/>
  <c r="R21"/>
  <c r="R20"/>
  <c r="Q20" s="1"/>
  <c r="Q25"/>
  <c r="R27"/>
  <c r="Q27" s="1"/>
  <c r="R25"/>
</calcChain>
</file>

<file path=xl/sharedStrings.xml><?xml version="1.0" encoding="utf-8"?>
<sst xmlns="http://schemas.openxmlformats.org/spreadsheetml/2006/main" count="82" uniqueCount="61">
  <si>
    <t>Наименование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</si>
  <si>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</si>
  <si>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</si>
  <si>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</si>
  <si>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</si>
  <si>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</si>
  <si>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</si>
  <si>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</si>
  <si>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</si>
  <si>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</si>
  <si>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</si>
  <si>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</si>
  <si>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</si>
  <si>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 xml:space="preserve"> </t>
  </si>
  <si>
    <t>Расход эл энергии</t>
  </si>
  <si>
    <t>Квартиры, кВт</t>
  </si>
  <si>
    <t>ОДН, кВт</t>
  </si>
  <si>
    <t>Расоход теплоснабжение</t>
  </si>
  <si>
    <t xml:space="preserve">Показатели финансово-хозяйственной деятельности </t>
  </si>
  <si>
    <t>Отопление, Гкал</t>
  </si>
  <si>
    <t>Вид</t>
  </si>
  <si>
    <t>1 очередь</t>
  </si>
  <si>
    <t>2 очередь</t>
  </si>
  <si>
    <t>Договора на техническое обслуживание общедомовых систем</t>
  </si>
  <si>
    <t>Среднее значение</t>
  </si>
  <si>
    <t>1. Обслуживание ворот</t>
  </si>
  <si>
    <t>ООО "Модус"</t>
  </si>
  <si>
    <t>2. Обслуживание калиток</t>
  </si>
  <si>
    <t>3. Обслуживание ВДГО</t>
  </si>
  <si>
    <t>ООО "Вершина"</t>
  </si>
  <si>
    <t>4. Обслуживание лифтов</t>
  </si>
  <si>
    <t>ООО "Высота"</t>
  </si>
  <si>
    <t>5. Обслуживание тепловых узлов</t>
  </si>
  <si>
    <t>ИП Морозов О.В.</t>
  </si>
  <si>
    <t>Потребление ресурсов</t>
  </si>
  <si>
    <t>Исполнение договоров на ТО</t>
  </si>
  <si>
    <t>Счет ТСН</t>
  </si>
  <si>
    <t>счет кап.ремонта</t>
  </si>
  <si>
    <t>6. Обслуживание ГИС ЖКХ</t>
  </si>
  <si>
    <t>ООО "Технология и сервис</t>
  </si>
  <si>
    <t>Очередь</t>
  </si>
  <si>
    <t>7. Аварийно-диспетчерская служба</t>
  </si>
  <si>
    <t>Поступление и расходы</t>
  </si>
  <si>
    <t>Фонд оплаты труда</t>
  </si>
  <si>
    <t>план</t>
  </si>
  <si>
    <t>факт</t>
  </si>
  <si>
    <t>Содержание и обслуживание ОДИ</t>
  </si>
  <si>
    <t>Расходы на ОДН</t>
  </si>
  <si>
    <t>8000 руб/ежемесячно</t>
  </si>
  <si>
    <t>26300 руб/ежемесячно</t>
  </si>
  <si>
    <t>1500 руб/ежемесячно</t>
  </si>
  <si>
    <t>Поступление на р/счета</t>
  </si>
  <si>
    <t>ООО "АДС"</t>
  </si>
  <si>
    <t>ИТОГО за год</t>
  </si>
  <si>
    <t>Итого расходы</t>
  </si>
  <si>
    <t>Расход водоснабжение (только ОДН)</t>
  </si>
  <si>
    <t>Нежилые пом, кВт</t>
  </si>
  <si>
    <t>Экономия за 2022 г.</t>
  </si>
  <si>
    <t>1и 2  очередь (м3)</t>
  </si>
  <si>
    <t>Водоотведение (только ОДН)</t>
  </si>
  <si>
    <t>1 и 2 очередь (м3)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</si>
</sst>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0" fontId="1" fillId="6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/>
    <xf numFmtId="2" fontId="0" fillId="0" borderId="14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2"/>
  <sheetViews>
    <sheetView tabSelected="1" workbookViewId="0">
      <selection activeCell="T12" sqref="T12"/>
    </sheetView>
  </sheetViews>
  <sheetFormatPr defaultRowHeight="15"/>
  <cols>
    <col min="1" max="1" width="18.5703125" customWidth="1"/>
    <col min="2" max="2" width="38.28515625" customWidth="1"/>
    <col min="3" max="3" width="20.42578125" customWidth="1"/>
    <col min="4" max="4" width="21.7109375" customWidth="1"/>
    <col min="17" max="17" width="18.85546875" customWidth="1"/>
    <col min="18" max="18" width="19.85546875" customWidth="1"/>
  </cols>
  <sheetData>
    <row r="1" spans="1:32" ht="27" customHeight="1">
      <c r="C1" s="78" t="s">
        <v>18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32">
      <c r="E2" s="56">
        <v>2022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32" ht="15.75" thickBot="1">
      <c r="B3" s="32" t="s">
        <v>0</v>
      </c>
      <c r="C3" s="32" t="s">
        <v>20</v>
      </c>
      <c r="D3" s="32" t="s">
        <v>40</v>
      </c>
      <c r="E3" s="32" t="s">
        <v>1</v>
      </c>
      <c r="F3" s="32" t="s">
        <v>2</v>
      </c>
      <c r="G3" s="32" t="s">
        <v>3</v>
      </c>
      <c r="H3" s="32" t="s">
        <v>4</v>
      </c>
      <c r="I3" s="32" t="s">
        <v>5</v>
      </c>
      <c r="J3" s="32" t="s">
        <v>6</v>
      </c>
      <c r="K3" s="32" t="s">
        <v>7</v>
      </c>
      <c r="L3" s="32" t="s">
        <v>8</v>
      </c>
      <c r="M3" s="32" t="s">
        <v>9</v>
      </c>
      <c r="N3" s="32" t="s">
        <v>10</v>
      </c>
      <c r="O3" s="32" t="s">
        <v>11</v>
      </c>
      <c r="P3" s="32" t="s">
        <v>12</v>
      </c>
      <c r="Q3" s="32" t="s">
        <v>24</v>
      </c>
      <c r="R3" s="32" t="s">
        <v>53</v>
      </c>
    </row>
    <row r="4" spans="1:32" ht="15" customHeight="1">
      <c r="A4" s="75" t="s">
        <v>34</v>
      </c>
      <c r="B4" s="57" t="s">
        <v>14</v>
      </c>
      <c r="C4" s="64" t="s">
        <v>15</v>
      </c>
      <c r="D4" s="34" t="s">
        <v>21</v>
      </c>
      <c r="E4" s="35">
        <v>17138.21</v>
      </c>
      <c r="F4" s="36">
        <v>20936.72</v>
      </c>
      <c r="G4" s="37">
        <v>18951.96</v>
      </c>
      <c r="H4" s="35">
        <v>16688</v>
      </c>
      <c r="I4" s="36">
        <v>14774.48</v>
      </c>
      <c r="J4" s="37">
        <v>15052.19</v>
      </c>
      <c r="K4" s="35">
        <v>21559.62</v>
      </c>
      <c r="L4" s="36">
        <v>17689.77</v>
      </c>
      <c r="M4" s="37">
        <v>17441.099999999999</v>
      </c>
      <c r="N4" s="35">
        <v>17364.830000000002</v>
      </c>
      <c r="O4" s="36">
        <v>17357.439999999999</v>
      </c>
      <c r="P4" s="37">
        <v>18019.27</v>
      </c>
      <c r="Q4" s="47">
        <f>SUM(E4:P4)/12</f>
        <v>17747.799166666668</v>
      </c>
      <c r="R4" s="38">
        <f>SUM(E4:P4)</f>
        <v>212973.59</v>
      </c>
    </row>
    <row r="5" spans="1:32" ht="15" customHeight="1">
      <c r="A5" s="76"/>
      <c r="B5" s="58"/>
      <c r="C5" s="65"/>
      <c r="D5" s="5" t="s">
        <v>22</v>
      </c>
      <c r="E5" s="13">
        <v>17391.259999999998</v>
      </c>
      <c r="F5" s="14">
        <v>18229.3</v>
      </c>
      <c r="G5" s="15">
        <v>17581.259999999998</v>
      </c>
      <c r="H5" s="13">
        <v>16866</v>
      </c>
      <c r="I5" s="14">
        <v>15574.96</v>
      </c>
      <c r="J5" s="15">
        <v>17867.25</v>
      </c>
      <c r="K5" s="13">
        <v>20177.79</v>
      </c>
      <c r="L5" s="14">
        <v>18004.72</v>
      </c>
      <c r="M5" s="15">
        <v>17665.53</v>
      </c>
      <c r="N5" s="13">
        <v>17589.41</v>
      </c>
      <c r="O5" s="14">
        <v>16641.21</v>
      </c>
      <c r="P5" s="15">
        <v>21474.52</v>
      </c>
      <c r="Q5" s="49">
        <f t="shared" ref="Q5:Q9" si="0">SUM(E5:P5)/12</f>
        <v>17921.934166666666</v>
      </c>
      <c r="R5" s="39">
        <f t="shared" ref="R5:R9" si="1">SUM(E5:P5)</f>
        <v>215063.21</v>
      </c>
    </row>
    <row r="6" spans="1:32" ht="15" customHeight="1">
      <c r="A6" s="76"/>
      <c r="B6" s="58"/>
      <c r="C6" s="66" t="s">
        <v>56</v>
      </c>
      <c r="D6" s="5" t="s">
        <v>21</v>
      </c>
      <c r="E6" s="13">
        <v>2118</v>
      </c>
      <c r="F6" s="14">
        <v>644</v>
      </c>
      <c r="G6" s="15">
        <v>425</v>
      </c>
      <c r="H6" s="13">
        <v>525</v>
      </c>
      <c r="I6" s="14">
        <v>7228</v>
      </c>
      <c r="J6" s="15">
        <v>-73.8</v>
      </c>
      <c r="K6" s="13">
        <v>3817.39</v>
      </c>
      <c r="L6" s="14">
        <v>1638.16</v>
      </c>
      <c r="M6" s="15">
        <v>1534.76</v>
      </c>
      <c r="N6" s="13">
        <v>2513.14</v>
      </c>
      <c r="O6" s="14">
        <v>2227.83</v>
      </c>
      <c r="P6" s="15">
        <v>2381.16</v>
      </c>
      <c r="Q6" s="49">
        <f t="shared" si="0"/>
        <v>2081.5533333333328</v>
      </c>
      <c r="R6" s="39">
        <f t="shared" si="1"/>
        <v>24978.639999999996</v>
      </c>
    </row>
    <row r="7" spans="1:32" ht="15" customHeight="1">
      <c r="A7" s="76"/>
      <c r="B7" s="58"/>
      <c r="C7" s="65"/>
      <c r="D7" s="5" t="s">
        <v>22</v>
      </c>
      <c r="E7" s="13">
        <v>130</v>
      </c>
      <c r="F7" s="14">
        <v>70</v>
      </c>
      <c r="G7" s="15">
        <v>349</v>
      </c>
      <c r="H7" s="13">
        <v>185</v>
      </c>
      <c r="I7" s="14">
        <v>160</v>
      </c>
      <c r="J7" s="15">
        <v>60.24</v>
      </c>
      <c r="K7" s="13">
        <v>207.24</v>
      </c>
      <c r="L7" s="14">
        <v>134.24</v>
      </c>
      <c r="M7" s="15">
        <v>182.28</v>
      </c>
      <c r="N7" s="13">
        <v>113.66</v>
      </c>
      <c r="O7" s="14">
        <v>217.32</v>
      </c>
      <c r="P7" s="15">
        <v>285.27999999999997</v>
      </c>
      <c r="Q7" s="49">
        <f t="shared" si="0"/>
        <v>174.52166666666668</v>
      </c>
      <c r="R7" s="39">
        <f t="shared" si="1"/>
        <v>2094.2600000000002</v>
      </c>
    </row>
    <row r="8" spans="1:32" ht="15" customHeight="1">
      <c r="A8" s="76"/>
      <c r="B8" s="58"/>
      <c r="C8" s="66" t="s">
        <v>16</v>
      </c>
      <c r="D8" s="5" t="s">
        <v>21</v>
      </c>
      <c r="E8" s="13">
        <v>7895.79</v>
      </c>
      <c r="F8" s="14">
        <v>4121.28</v>
      </c>
      <c r="G8" s="15">
        <v>2760.04</v>
      </c>
      <c r="H8" s="13">
        <v>6922</v>
      </c>
      <c r="I8" s="14">
        <v>-2255.7600000000002</v>
      </c>
      <c r="J8" s="15">
        <v>2864.85</v>
      </c>
      <c r="K8" s="13">
        <v>1814</v>
      </c>
      <c r="L8" s="14">
        <v>2809.07</v>
      </c>
      <c r="M8" s="15">
        <v>1476.14</v>
      </c>
      <c r="N8" s="13">
        <v>5589.03</v>
      </c>
      <c r="O8" s="14">
        <v>2943.73</v>
      </c>
      <c r="P8" s="15">
        <v>4753.57</v>
      </c>
      <c r="Q8" s="49">
        <f t="shared" si="0"/>
        <v>3474.478333333333</v>
      </c>
      <c r="R8" s="39">
        <f t="shared" si="1"/>
        <v>41693.74</v>
      </c>
    </row>
    <row r="9" spans="1:32" ht="15" customHeight="1" thickBot="1">
      <c r="A9" s="76"/>
      <c r="B9" s="59"/>
      <c r="C9" s="67"/>
      <c r="D9" s="40" t="s">
        <v>22</v>
      </c>
      <c r="E9" s="41">
        <v>9300.74</v>
      </c>
      <c r="F9" s="42">
        <v>5130.7</v>
      </c>
      <c r="G9" s="43">
        <v>2501.7399999999998</v>
      </c>
      <c r="H9" s="41">
        <v>5353</v>
      </c>
      <c r="I9" s="42">
        <v>2250.7600000000002</v>
      </c>
      <c r="J9" s="43">
        <v>98.49</v>
      </c>
      <c r="K9" s="41">
        <v>6022.48</v>
      </c>
      <c r="L9" s="42">
        <v>-5437.96</v>
      </c>
      <c r="M9" s="43">
        <v>3063.23</v>
      </c>
      <c r="N9" s="41">
        <v>6481.27</v>
      </c>
      <c r="O9" s="42">
        <v>5309.47</v>
      </c>
      <c r="P9" s="43">
        <v>4983.2</v>
      </c>
      <c r="Q9" s="50">
        <f t="shared" si="0"/>
        <v>3754.76</v>
      </c>
      <c r="R9" s="45">
        <f t="shared" si="1"/>
        <v>45057.120000000003</v>
      </c>
    </row>
    <row r="10" spans="1:32" ht="15" customHeight="1">
      <c r="A10" s="76"/>
      <c r="B10" s="79" t="s">
        <v>17</v>
      </c>
      <c r="C10" s="68" t="s">
        <v>19</v>
      </c>
      <c r="D10" s="31" t="s">
        <v>21</v>
      </c>
      <c r="E10" s="17">
        <v>220.5</v>
      </c>
      <c r="F10" s="18">
        <v>231.1</v>
      </c>
      <c r="G10" s="19">
        <v>169.5</v>
      </c>
      <c r="H10" s="17">
        <v>141.4</v>
      </c>
      <c r="I10" s="18">
        <v>30.2</v>
      </c>
      <c r="J10" s="19">
        <v>0</v>
      </c>
      <c r="K10" s="17">
        <v>0</v>
      </c>
      <c r="L10" s="18">
        <v>0</v>
      </c>
      <c r="M10" s="19">
        <v>23.2</v>
      </c>
      <c r="N10" s="17">
        <v>84.2</v>
      </c>
      <c r="O10" s="18">
        <v>141.30000000000001</v>
      </c>
      <c r="P10" s="19"/>
      <c r="Q10" s="51">
        <f>R10/12</f>
        <v>86.783333333333346</v>
      </c>
      <c r="R10" s="48">
        <f>SUM(E10:P10)</f>
        <v>1041.4000000000001</v>
      </c>
    </row>
    <row r="11" spans="1:32" ht="15" customHeight="1" thickBot="1">
      <c r="A11" s="76"/>
      <c r="B11" s="80"/>
      <c r="C11" s="69"/>
      <c r="D11" s="40" t="s">
        <v>22</v>
      </c>
      <c r="E11" s="41">
        <v>236.04</v>
      </c>
      <c r="F11" s="42">
        <v>254.17</v>
      </c>
      <c r="G11" s="43">
        <v>184</v>
      </c>
      <c r="H11" s="41">
        <v>143.6</v>
      </c>
      <c r="I11" s="42">
        <v>28.6</v>
      </c>
      <c r="J11" s="43">
        <v>0</v>
      </c>
      <c r="K11" s="41">
        <v>0</v>
      </c>
      <c r="L11" s="42">
        <v>0</v>
      </c>
      <c r="M11" s="43">
        <v>15.9</v>
      </c>
      <c r="N11" s="41">
        <v>91.2</v>
      </c>
      <c r="O11" s="42">
        <v>153.6</v>
      </c>
      <c r="P11" s="43"/>
      <c r="Q11" s="50">
        <f>R11/12</f>
        <v>92.259166666666673</v>
      </c>
      <c r="R11" s="48">
        <f>SUM(E11:P11)</f>
        <v>1107.1100000000001</v>
      </c>
    </row>
    <row r="12" spans="1:32" ht="15" customHeight="1" thickBot="1">
      <c r="A12" s="76"/>
      <c r="B12" s="57" t="s">
        <v>55</v>
      </c>
      <c r="C12" s="81" t="s">
        <v>58</v>
      </c>
      <c r="D12" s="82"/>
      <c r="E12" s="35">
        <v>342.07</v>
      </c>
      <c r="F12" s="36">
        <v>122.89</v>
      </c>
      <c r="G12" s="37">
        <v>418.05</v>
      </c>
      <c r="H12" s="35">
        <v>233.65</v>
      </c>
      <c r="I12" s="36">
        <v>206.94</v>
      </c>
      <c r="J12" s="37">
        <v>147.84</v>
      </c>
      <c r="K12" s="35">
        <v>142.91</v>
      </c>
      <c r="L12" s="36">
        <v>323.39999999999998</v>
      </c>
      <c r="M12" s="37">
        <v>2.31</v>
      </c>
      <c r="N12" s="35">
        <v>141.22</v>
      </c>
      <c r="O12" s="36">
        <v>149.77000000000001</v>
      </c>
      <c r="P12" s="37">
        <v>450.71</v>
      </c>
      <c r="Q12" s="50">
        <f>R12/12</f>
        <v>223.48</v>
      </c>
      <c r="R12" s="38">
        <f>SUM(E12:P12)</f>
        <v>2681.7599999999998</v>
      </c>
    </row>
    <row r="13" spans="1:32" ht="15" customHeight="1" thickBot="1">
      <c r="A13" s="76"/>
      <c r="B13" s="59"/>
      <c r="C13" s="84"/>
      <c r="D13" s="85"/>
      <c r="E13" s="41"/>
      <c r="F13" s="42"/>
      <c r="G13" s="43"/>
      <c r="H13" s="41"/>
      <c r="I13" s="42"/>
      <c r="J13" s="43"/>
      <c r="K13" s="41"/>
      <c r="L13" s="42"/>
      <c r="M13" s="43"/>
      <c r="N13" s="41"/>
      <c r="O13" s="42"/>
      <c r="P13" s="43"/>
      <c r="Q13" s="44"/>
      <c r="R13" s="45"/>
    </row>
    <row r="14" spans="1:32" s="1" customFormat="1" ht="18.75" customHeight="1" thickBot="1">
      <c r="A14" s="76"/>
      <c r="B14" s="57" t="s">
        <v>59</v>
      </c>
      <c r="C14" s="81" t="s">
        <v>60</v>
      </c>
      <c r="D14" s="82"/>
      <c r="E14" s="35">
        <v>236.74</v>
      </c>
      <c r="F14" s="36">
        <v>236.74</v>
      </c>
      <c r="G14" s="37">
        <v>236.74</v>
      </c>
      <c r="H14" s="35">
        <v>236.74</v>
      </c>
      <c r="I14" s="36">
        <v>236.74</v>
      </c>
      <c r="J14" s="37">
        <v>236.74</v>
      </c>
      <c r="K14" s="35">
        <v>236.74</v>
      </c>
      <c r="L14" s="36">
        <v>236.74</v>
      </c>
      <c r="M14" s="37">
        <v>0</v>
      </c>
      <c r="N14" s="35">
        <v>131.93</v>
      </c>
      <c r="O14" s="36">
        <v>481.09</v>
      </c>
      <c r="P14" s="37">
        <v>365.4</v>
      </c>
      <c r="Q14" s="50">
        <f>R14/12</f>
        <v>239.36166666666668</v>
      </c>
      <c r="R14" s="38">
        <f>SUM(E14:P14)</f>
        <v>2872.34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1" customFormat="1" ht="18.75" customHeight="1" thickBot="1">
      <c r="A15" s="77"/>
      <c r="B15" s="59"/>
      <c r="C15" s="83"/>
      <c r="D15" s="83"/>
      <c r="E15" s="41"/>
      <c r="F15" s="42"/>
      <c r="G15" s="43"/>
      <c r="H15" s="41"/>
      <c r="I15" s="42"/>
      <c r="J15" s="43"/>
      <c r="K15" s="41"/>
      <c r="L15" s="42"/>
      <c r="M15" s="43"/>
      <c r="N15" s="41"/>
      <c r="O15" s="42"/>
      <c r="P15" s="43"/>
      <c r="Q15" s="44"/>
      <c r="R15" s="45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4.45" customHeight="1">
      <c r="A16" s="61" t="s">
        <v>35</v>
      </c>
      <c r="B16" s="70" t="s">
        <v>23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2"/>
      <c r="Q16" s="33"/>
      <c r="R16" s="46"/>
      <c r="S16" s="9"/>
      <c r="T16" s="9"/>
      <c r="U16" s="9" t="s">
        <v>13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21" ht="14.45" customHeight="1">
      <c r="A17" s="62"/>
      <c r="B17" s="1" t="s">
        <v>25</v>
      </c>
      <c r="C17" s="3" t="s">
        <v>26</v>
      </c>
      <c r="D17" s="4"/>
      <c r="E17" s="13">
        <v>2320</v>
      </c>
      <c r="F17" s="13">
        <f>2320+820</f>
        <v>3140</v>
      </c>
      <c r="G17" s="13">
        <v>2320</v>
      </c>
      <c r="H17" s="13">
        <f>2320+900</f>
        <v>3220</v>
      </c>
      <c r="I17" s="13">
        <v>2320</v>
      </c>
      <c r="J17" s="13">
        <v>2320</v>
      </c>
      <c r="K17" s="13">
        <f>2320+3700</f>
        <v>6020</v>
      </c>
      <c r="L17" s="13">
        <v>2320</v>
      </c>
      <c r="M17" s="13">
        <v>2320</v>
      </c>
      <c r="N17" s="13">
        <f>2320+930</f>
        <v>3250</v>
      </c>
      <c r="O17" s="13">
        <v>2320</v>
      </c>
      <c r="P17" s="13">
        <f>2320+480</f>
        <v>2800</v>
      </c>
      <c r="Q17" s="21">
        <f t="shared" ref="Q17:Q19" si="2">SUM(R17/12)</f>
        <v>2889.1666666666665</v>
      </c>
      <c r="R17" s="20">
        <f t="shared" ref="R17:R19" si="3">SUM(E17:P17)</f>
        <v>34670</v>
      </c>
    </row>
    <row r="18" spans="1:21" ht="14.45" customHeight="1">
      <c r="A18" s="62"/>
      <c r="B18" s="1" t="s">
        <v>27</v>
      </c>
      <c r="C18" s="3" t="s">
        <v>26</v>
      </c>
      <c r="D18" s="4"/>
      <c r="E18" s="13">
        <v>1270</v>
      </c>
      <c r="F18" s="13">
        <v>1270</v>
      </c>
      <c r="G18" s="13">
        <v>1270</v>
      </c>
      <c r="H18" s="13">
        <v>1270</v>
      </c>
      <c r="I18" s="13">
        <v>1270</v>
      </c>
      <c r="J18" s="13">
        <v>1270</v>
      </c>
      <c r="K18" s="13">
        <v>1270</v>
      </c>
      <c r="L18" s="13">
        <v>1270</v>
      </c>
      <c r="M18" s="13">
        <v>1270</v>
      </c>
      <c r="N18" s="13">
        <v>1270</v>
      </c>
      <c r="O18" s="13">
        <v>1270</v>
      </c>
      <c r="P18" s="13">
        <v>1270</v>
      </c>
      <c r="Q18" s="4">
        <f t="shared" si="2"/>
        <v>1270</v>
      </c>
      <c r="R18" s="20">
        <f t="shared" si="3"/>
        <v>15240</v>
      </c>
    </row>
    <row r="19" spans="1:21" ht="14.45" customHeight="1">
      <c r="A19" s="62"/>
      <c r="B19" s="1" t="s">
        <v>28</v>
      </c>
      <c r="C19" s="3" t="s">
        <v>29</v>
      </c>
      <c r="D19" s="4"/>
      <c r="E19" s="13">
        <v>10924</v>
      </c>
      <c r="F19" s="13">
        <v>10924</v>
      </c>
      <c r="G19" s="13">
        <v>10924</v>
      </c>
      <c r="H19" s="13">
        <v>10924</v>
      </c>
      <c r="I19" s="13">
        <v>10924</v>
      </c>
      <c r="J19" s="13">
        <v>10924</v>
      </c>
      <c r="K19" s="13">
        <v>10924</v>
      </c>
      <c r="L19" s="13">
        <v>10924</v>
      </c>
      <c r="M19" s="13">
        <v>10924</v>
      </c>
      <c r="N19" s="13">
        <v>10924</v>
      </c>
      <c r="O19" s="13">
        <v>10924</v>
      </c>
      <c r="P19" s="13">
        <v>10924</v>
      </c>
      <c r="Q19" s="4">
        <f t="shared" si="2"/>
        <v>10924</v>
      </c>
      <c r="R19" s="20">
        <f t="shared" si="3"/>
        <v>131088</v>
      </c>
      <c r="U19" t="s">
        <v>13</v>
      </c>
    </row>
    <row r="20" spans="1:21" ht="14.45" customHeight="1">
      <c r="A20" s="62"/>
      <c r="B20" s="1" t="s">
        <v>30</v>
      </c>
      <c r="C20" s="3" t="s">
        <v>31</v>
      </c>
      <c r="D20" s="4" t="s">
        <v>49</v>
      </c>
      <c r="E20" s="13">
        <v>26300</v>
      </c>
      <c r="F20" s="14">
        <v>26300</v>
      </c>
      <c r="G20" s="15">
        <f>26300+1500</f>
        <v>27800</v>
      </c>
      <c r="H20" s="13">
        <v>26300</v>
      </c>
      <c r="I20" s="14">
        <v>26300</v>
      </c>
      <c r="J20" s="15">
        <v>26300</v>
      </c>
      <c r="K20" s="13">
        <v>26300</v>
      </c>
      <c r="L20" s="14">
        <v>26300</v>
      </c>
      <c r="M20" s="15">
        <v>26300</v>
      </c>
      <c r="N20" s="13">
        <v>26300</v>
      </c>
      <c r="O20" s="14">
        <v>26300</v>
      </c>
      <c r="P20" s="15">
        <v>26300</v>
      </c>
      <c r="Q20" s="4">
        <f t="shared" ref="Q20:Q23" si="4">SUM(R20/12)</f>
        <v>26425</v>
      </c>
      <c r="R20" s="20">
        <f t="shared" ref="R20:R23" si="5">SUM(E20:P20)</f>
        <v>317100</v>
      </c>
    </row>
    <row r="21" spans="1:21" ht="14.45" customHeight="1">
      <c r="A21" s="62"/>
      <c r="B21" s="1" t="s">
        <v>32</v>
      </c>
      <c r="C21" s="3" t="s">
        <v>33</v>
      </c>
      <c r="D21" s="4" t="s">
        <v>48</v>
      </c>
      <c r="E21" s="13">
        <v>8000</v>
      </c>
      <c r="F21" s="14">
        <v>8000</v>
      </c>
      <c r="G21" s="15">
        <v>8000</v>
      </c>
      <c r="H21" s="13">
        <v>8000</v>
      </c>
      <c r="I21" s="14">
        <v>8000</v>
      </c>
      <c r="J21" s="15">
        <v>8000</v>
      </c>
      <c r="K21" s="13">
        <v>8000</v>
      </c>
      <c r="L21" s="14">
        <v>8000</v>
      </c>
      <c r="M21" s="15">
        <v>8000</v>
      </c>
      <c r="N21" s="13">
        <v>8000</v>
      </c>
      <c r="O21" s="14">
        <v>8000</v>
      </c>
      <c r="P21" s="15">
        <v>8000</v>
      </c>
      <c r="Q21" s="4">
        <f t="shared" si="4"/>
        <v>8000</v>
      </c>
      <c r="R21" s="20">
        <f t="shared" si="5"/>
        <v>96000</v>
      </c>
    </row>
    <row r="22" spans="1:21" ht="34.5" customHeight="1">
      <c r="A22" s="62"/>
      <c r="B22" s="8" t="s">
        <v>38</v>
      </c>
      <c r="C22" s="12" t="s">
        <v>39</v>
      </c>
      <c r="D22" s="7" t="s">
        <v>50</v>
      </c>
      <c r="E22" s="16">
        <v>1500</v>
      </c>
      <c r="F22" s="16">
        <v>1500</v>
      </c>
      <c r="G22" s="16">
        <v>1500</v>
      </c>
      <c r="H22" s="16">
        <v>1500</v>
      </c>
      <c r="I22" s="16">
        <v>1500</v>
      </c>
      <c r="J22" s="16">
        <v>1500</v>
      </c>
      <c r="K22" s="16">
        <v>1500</v>
      </c>
      <c r="L22" s="16">
        <v>1500</v>
      </c>
      <c r="M22" s="16">
        <v>1500</v>
      </c>
      <c r="N22" s="16">
        <v>1500</v>
      </c>
      <c r="O22" s="16">
        <v>1500</v>
      </c>
      <c r="P22" s="16">
        <v>1500</v>
      </c>
      <c r="Q22" s="4">
        <f t="shared" si="4"/>
        <v>1500</v>
      </c>
      <c r="R22" s="20">
        <f t="shared" si="5"/>
        <v>18000</v>
      </c>
    </row>
    <row r="23" spans="1:21" ht="18.600000000000001" customHeight="1">
      <c r="A23" s="63"/>
      <c r="B23" s="6" t="s">
        <v>41</v>
      </c>
      <c r="C23" s="10" t="s">
        <v>52</v>
      </c>
      <c r="D23" s="7" t="s">
        <v>50</v>
      </c>
      <c r="E23" s="13">
        <v>1500</v>
      </c>
      <c r="F23" s="13">
        <v>1500</v>
      </c>
      <c r="G23" s="13">
        <v>1500</v>
      </c>
      <c r="H23" s="13">
        <v>1500</v>
      </c>
      <c r="I23" s="13">
        <v>1500</v>
      </c>
      <c r="J23" s="13">
        <v>1500</v>
      </c>
      <c r="K23" s="13">
        <v>1500</v>
      </c>
      <c r="L23" s="13">
        <v>1500</v>
      </c>
      <c r="M23" s="13">
        <v>1500</v>
      </c>
      <c r="N23" s="13">
        <v>1500</v>
      </c>
      <c r="O23" s="13">
        <v>1500</v>
      </c>
      <c r="P23" s="13">
        <v>1500</v>
      </c>
      <c r="Q23" s="4">
        <f t="shared" si="4"/>
        <v>1500</v>
      </c>
      <c r="R23" s="20">
        <f t="shared" si="5"/>
        <v>18000</v>
      </c>
    </row>
    <row r="24" spans="1:21" s="9" customFormat="1">
      <c r="A24" s="60" t="s">
        <v>42</v>
      </c>
      <c r="B24" s="73" t="s">
        <v>51</v>
      </c>
      <c r="C24" s="73" t="s">
        <v>36</v>
      </c>
      <c r="D24" s="2" t="s">
        <v>44</v>
      </c>
      <c r="E24" s="13">
        <f>350117+9823+1500</f>
        <v>361440</v>
      </c>
      <c r="F24" s="14">
        <f>350081+20213+2000</f>
        <v>372294</v>
      </c>
      <c r="G24" s="15">
        <f>350081+11868+2000</f>
        <v>363949</v>
      </c>
      <c r="H24" s="13">
        <f>350081+8379+2000</f>
        <v>360460</v>
      </c>
      <c r="I24" s="14">
        <f>350081+5409+2000</f>
        <v>357490</v>
      </c>
      <c r="J24" s="15">
        <f>350081-5666</f>
        <v>344415</v>
      </c>
      <c r="K24" s="13">
        <f>350081+4032</f>
        <v>354113</v>
      </c>
      <c r="L24" s="14">
        <f>350081+2700</f>
        <v>352781</v>
      </c>
      <c r="M24" s="15">
        <f>350081+2700</f>
        <v>352781</v>
      </c>
      <c r="N24" s="13">
        <f>350081+2700</f>
        <v>352781</v>
      </c>
      <c r="O24" s="14">
        <f>350081+3388+2700</f>
        <v>356169</v>
      </c>
      <c r="P24" s="15">
        <f>350081+6075+2700</f>
        <v>358856</v>
      </c>
      <c r="Q24" s="21">
        <f t="shared" ref="Q24:Q29" si="6">SUM(R24/12)</f>
        <v>357294.08333333331</v>
      </c>
      <c r="R24" s="20">
        <f t="shared" ref="R24:R29" si="7">SUM(E24:P24)</f>
        <v>4287529</v>
      </c>
    </row>
    <row r="25" spans="1:21" s="9" customFormat="1">
      <c r="A25" s="60"/>
      <c r="B25" s="68"/>
      <c r="C25" s="74"/>
      <c r="D25" s="11" t="s">
        <v>45</v>
      </c>
      <c r="E25" s="13">
        <v>292623</v>
      </c>
      <c r="F25" s="14">
        <v>344541</v>
      </c>
      <c r="G25" s="15">
        <v>388538</v>
      </c>
      <c r="H25" s="13">
        <v>375004</v>
      </c>
      <c r="I25" s="14">
        <v>293785</v>
      </c>
      <c r="J25" s="15">
        <v>361573</v>
      </c>
      <c r="K25" s="13">
        <v>401232</v>
      </c>
      <c r="L25" s="14">
        <v>379657</v>
      </c>
      <c r="M25" s="15">
        <v>403049</v>
      </c>
      <c r="N25" s="13">
        <v>351902</v>
      </c>
      <c r="O25" s="14">
        <v>386414</v>
      </c>
      <c r="P25" s="15">
        <v>493861</v>
      </c>
      <c r="Q25" s="21">
        <f t="shared" si="6"/>
        <v>372681.58333333331</v>
      </c>
      <c r="R25" s="20">
        <f t="shared" si="7"/>
        <v>4472179</v>
      </c>
    </row>
    <row r="26" spans="1:21">
      <c r="A26" s="60"/>
      <c r="B26" s="68"/>
      <c r="C26" s="73" t="s">
        <v>37</v>
      </c>
      <c r="D26" s="2" t="s">
        <v>44</v>
      </c>
      <c r="E26" s="13">
        <v>195212</v>
      </c>
      <c r="F26" s="14">
        <v>195191</v>
      </c>
      <c r="G26" s="15">
        <v>195191</v>
      </c>
      <c r="H26" s="13">
        <v>195191</v>
      </c>
      <c r="I26" s="14">
        <v>195191</v>
      </c>
      <c r="J26" s="15">
        <v>195191</v>
      </c>
      <c r="K26" s="13">
        <v>195191</v>
      </c>
      <c r="L26" s="14">
        <v>195191</v>
      </c>
      <c r="M26" s="15">
        <v>195191</v>
      </c>
      <c r="N26" s="13">
        <v>195191</v>
      </c>
      <c r="O26" s="14">
        <v>195191</v>
      </c>
      <c r="P26" s="15">
        <v>195191</v>
      </c>
      <c r="Q26" s="21">
        <f t="shared" si="6"/>
        <v>195192.75</v>
      </c>
      <c r="R26" s="20">
        <f t="shared" si="7"/>
        <v>2342313</v>
      </c>
    </row>
    <row r="27" spans="1:21">
      <c r="A27" s="60"/>
      <c r="B27" s="74"/>
      <c r="C27" s="74"/>
      <c r="D27" s="11" t="s">
        <v>45</v>
      </c>
      <c r="E27" s="17">
        <v>132044</v>
      </c>
      <c r="F27" s="18">
        <v>184489</v>
      </c>
      <c r="G27" s="19">
        <v>183102</v>
      </c>
      <c r="H27" s="17">
        <v>210687</v>
      </c>
      <c r="I27" s="18">
        <v>160934</v>
      </c>
      <c r="J27" s="19">
        <v>195661</v>
      </c>
      <c r="K27" s="17">
        <v>187822</v>
      </c>
      <c r="L27" s="18">
        <v>217527</v>
      </c>
      <c r="M27" s="19">
        <v>200319</v>
      </c>
      <c r="N27" s="17">
        <v>216464</v>
      </c>
      <c r="O27" s="18">
        <v>203178</v>
      </c>
      <c r="P27" s="19">
        <v>261110</v>
      </c>
      <c r="Q27" s="21">
        <f t="shared" si="6"/>
        <v>196111.41666666666</v>
      </c>
      <c r="R27" s="20">
        <f t="shared" si="7"/>
        <v>2353337</v>
      </c>
    </row>
    <row r="28" spans="1:21">
      <c r="A28" s="60"/>
      <c r="B28" s="73" t="s">
        <v>43</v>
      </c>
      <c r="C28" s="54" t="s">
        <v>44</v>
      </c>
      <c r="D28" s="55"/>
      <c r="E28" s="13">
        <v>206196</v>
      </c>
      <c r="F28" s="13">
        <v>206196</v>
      </c>
      <c r="G28" s="13">
        <v>206196</v>
      </c>
      <c r="H28" s="13">
        <v>206196</v>
      </c>
      <c r="I28" s="13">
        <v>206196</v>
      </c>
      <c r="J28" s="13">
        <v>206196</v>
      </c>
      <c r="K28" s="13">
        <v>206196</v>
      </c>
      <c r="L28" s="13">
        <v>206196</v>
      </c>
      <c r="M28" s="13">
        <v>206196</v>
      </c>
      <c r="N28" s="13">
        <v>206196</v>
      </c>
      <c r="O28" s="13">
        <v>206196</v>
      </c>
      <c r="P28" s="13">
        <v>206196</v>
      </c>
      <c r="Q28" s="21">
        <f t="shared" si="6"/>
        <v>206196</v>
      </c>
      <c r="R28" s="20">
        <f t="shared" si="7"/>
        <v>2474352</v>
      </c>
    </row>
    <row r="29" spans="1:21">
      <c r="A29" s="60"/>
      <c r="B29" s="74"/>
      <c r="C29" s="54" t="s">
        <v>45</v>
      </c>
      <c r="D29" s="55"/>
      <c r="E29" s="25">
        <f>169816*1.302</f>
        <v>221100.432</v>
      </c>
      <c r="F29" s="26">
        <f>155228*1.302</f>
        <v>202106.856</v>
      </c>
      <c r="G29" s="27">
        <f>153352*1.302</f>
        <v>199664.304</v>
      </c>
      <c r="H29" s="25">
        <f>153352*1.302</f>
        <v>199664.304</v>
      </c>
      <c r="I29" s="26">
        <f>150860*1.302</f>
        <v>196419.72</v>
      </c>
      <c r="J29" s="27">
        <f>153352*1.302</f>
        <v>199664.304</v>
      </c>
      <c r="K29" s="25">
        <f>161875*1.302</f>
        <v>210761.25</v>
      </c>
      <c r="L29" s="26">
        <f>145352*1.302</f>
        <v>189248.304</v>
      </c>
      <c r="M29" s="27">
        <f>188678*1.302</f>
        <v>245658.75600000002</v>
      </c>
      <c r="N29" s="25">
        <f>101547*1.302</f>
        <v>132214.19400000002</v>
      </c>
      <c r="O29" s="26">
        <f>134112*1.302</f>
        <v>174613.82399999999</v>
      </c>
      <c r="P29" s="27">
        <v>222207</v>
      </c>
      <c r="Q29" s="21">
        <f t="shared" si="6"/>
        <v>199443.60400000002</v>
      </c>
      <c r="R29" s="28">
        <f t="shared" si="7"/>
        <v>2393323.2480000001</v>
      </c>
    </row>
    <row r="30" spans="1:21" ht="17.100000000000001" customHeight="1">
      <c r="A30" s="60"/>
      <c r="B30" s="73" t="s">
        <v>46</v>
      </c>
      <c r="C30" s="54" t="s">
        <v>44</v>
      </c>
      <c r="D30" s="55"/>
      <c r="E30" s="13">
        <v>42203</v>
      </c>
      <c r="F30" s="14">
        <v>42203</v>
      </c>
      <c r="G30" s="15">
        <v>42203</v>
      </c>
      <c r="H30" s="13">
        <v>42203</v>
      </c>
      <c r="I30" s="14">
        <v>42203</v>
      </c>
      <c r="J30" s="15">
        <v>42203</v>
      </c>
      <c r="K30" s="13">
        <v>42203</v>
      </c>
      <c r="L30" s="14">
        <v>42203</v>
      </c>
      <c r="M30" s="15">
        <v>42203</v>
      </c>
      <c r="N30" s="13">
        <v>42203</v>
      </c>
      <c r="O30" s="14">
        <v>42203</v>
      </c>
      <c r="P30" s="15">
        <v>42203</v>
      </c>
      <c r="Q30" s="21">
        <f t="shared" ref="Q30:Q31" si="8">SUM(R30/12)</f>
        <v>42203</v>
      </c>
      <c r="R30" s="28">
        <f t="shared" ref="R30:R31" si="9">SUM(E30:P30)</f>
        <v>506436</v>
      </c>
    </row>
    <row r="31" spans="1:21">
      <c r="A31" s="60"/>
      <c r="B31" s="74"/>
      <c r="C31" s="54" t="s">
        <v>45</v>
      </c>
      <c r="D31" s="55"/>
      <c r="E31" s="13">
        <v>56032</v>
      </c>
      <c r="F31" s="14">
        <v>15486</v>
      </c>
      <c r="G31" s="15">
        <v>13740</v>
      </c>
      <c r="H31" s="13">
        <v>30883</v>
      </c>
      <c r="I31" s="14">
        <v>16323</v>
      </c>
      <c r="J31" s="15">
        <v>81786</v>
      </c>
      <c r="K31" s="13">
        <v>33215</v>
      </c>
      <c r="L31" s="14">
        <v>43673</v>
      </c>
      <c r="M31" s="15">
        <v>45352</v>
      </c>
      <c r="N31" s="13">
        <v>136096</v>
      </c>
      <c r="O31" s="14">
        <v>60862</v>
      </c>
      <c r="P31" s="86">
        <v>30522</v>
      </c>
      <c r="Q31" s="21">
        <f t="shared" si="8"/>
        <v>46997.5</v>
      </c>
      <c r="R31" s="28">
        <f t="shared" si="9"/>
        <v>563970</v>
      </c>
    </row>
    <row r="32" spans="1:21">
      <c r="A32" s="60"/>
      <c r="B32" s="73" t="s">
        <v>47</v>
      </c>
      <c r="C32" s="54" t="s">
        <v>44</v>
      </c>
      <c r="D32" s="55"/>
      <c r="E32" s="13">
        <v>75209</v>
      </c>
      <c r="F32" s="13">
        <v>75209</v>
      </c>
      <c r="G32" s="13">
        <v>75209</v>
      </c>
      <c r="H32" s="13">
        <v>75209</v>
      </c>
      <c r="I32" s="13">
        <v>75209</v>
      </c>
      <c r="J32" s="13">
        <v>75209</v>
      </c>
      <c r="K32" s="13">
        <v>75209</v>
      </c>
      <c r="L32" s="13">
        <v>75209</v>
      </c>
      <c r="M32" s="13">
        <v>75209</v>
      </c>
      <c r="N32" s="13">
        <v>75209</v>
      </c>
      <c r="O32" s="13">
        <v>75209</v>
      </c>
      <c r="P32" s="13">
        <v>75209</v>
      </c>
      <c r="Q32" s="21">
        <f>SUM(R32/12)</f>
        <v>75209</v>
      </c>
      <c r="R32" s="20">
        <f>SUM(E32:P32)</f>
        <v>902508</v>
      </c>
    </row>
    <row r="33" spans="1:18">
      <c r="A33" s="60"/>
      <c r="B33" s="74"/>
      <c r="C33" s="54" t="s">
        <v>45</v>
      </c>
      <c r="D33" s="55"/>
      <c r="E33" s="24">
        <v>103314</v>
      </c>
      <c r="F33" s="22">
        <v>61082</v>
      </c>
      <c r="G33" s="23">
        <v>46520</v>
      </c>
      <c r="H33" s="24">
        <v>70573</v>
      </c>
      <c r="I33" s="22">
        <v>21887</v>
      </c>
      <c r="J33" s="23">
        <v>19837</v>
      </c>
      <c r="K33" s="24">
        <v>51729</v>
      </c>
      <c r="L33" s="22">
        <v>31721</v>
      </c>
      <c r="M33" s="23">
        <v>27140</v>
      </c>
      <c r="N33" s="24">
        <v>69379</v>
      </c>
      <c r="O33" s="22">
        <v>61864</v>
      </c>
      <c r="P33" s="87">
        <v>83439</v>
      </c>
      <c r="Q33" s="21">
        <f>SUM(R33/12)</f>
        <v>54040.416666666664</v>
      </c>
      <c r="R33" s="28">
        <f>SUM(E33:P33)</f>
        <v>648485</v>
      </c>
    </row>
    <row r="35" spans="1:18">
      <c r="B35" s="56" t="s">
        <v>54</v>
      </c>
      <c r="C35" s="54" t="s">
        <v>44</v>
      </c>
      <c r="D35" s="55"/>
      <c r="E35" s="1">
        <f t="shared" ref="E35:P35" si="10">SUM(E28+E30+E32+51814)</f>
        <v>375422</v>
      </c>
      <c r="F35" s="1">
        <f t="shared" si="10"/>
        <v>375422</v>
      </c>
      <c r="G35" s="1">
        <f t="shared" si="10"/>
        <v>375422</v>
      </c>
      <c r="H35" s="1">
        <f t="shared" si="10"/>
        <v>375422</v>
      </c>
      <c r="I35" s="1">
        <f t="shared" si="10"/>
        <v>375422</v>
      </c>
      <c r="J35" s="1">
        <f t="shared" si="10"/>
        <v>375422</v>
      </c>
      <c r="K35" s="1">
        <f t="shared" si="10"/>
        <v>375422</v>
      </c>
      <c r="L35" s="1">
        <f t="shared" si="10"/>
        <v>375422</v>
      </c>
      <c r="M35" s="1">
        <f t="shared" si="10"/>
        <v>375422</v>
      </c>
      <c r="N35" s="1">
        <f t="shared" si="10"/>
        <v>375422</v>
      </c>
      <c r="O35" s="1">
        <f t="shared" si="10"/>
        <v>375422</v>
      </c>
      <c r="P35" s="1">
        <f t="shared" si="10"/>
        <v>375422</v>
      </c>
      <c r="Q35" s="21">
        <f t="shared" ref="Q35:Q36" si="11">SUM(R35/12)</f>
        <v>375422</v>
      </c>
      <c r="R35" s="20">
        <f>SUM(E35:P35)</f>
        <v>4505064</v>
      </c>
    </row>
    <row r="36" spans="1:18">
      <c r="B36" s="56"/>
      <c r="C36" s="54" t="s">
        <v>45</v>
      </c>
      <c r="D36" s="55"/>
      <c r="E36" s="30">
        <f>E29+E31+E33+51814</f>
        <v>432260.43200000003</v>
      </c>
      <c r="F36" s="30">
        <f>SUM(F29+F31+F33+52634)</f>
        <v>331308.85600000003</v>
      </c>
      <c r="G36" s="30">
        <f>SUM(G29+G31+G33+53314)</f>
        <v>313238.304</v>
      </c>
      <c r="H36" s="30">
        <f>SUM(H29+H31+H33+52714)</f>
        <v>353834.304</v>
      </c>
      <c r="I36" s="30">
        <f>SUM(I29+I31+I33+51814)</f>
        <v>286443.71999999997</v>
      </c>
      <c r="J36" s="30">
        <f>SUM(J29+J31+J33+51814)</f>
        <v>353101.304</v>
      </c>
      <c r="K36" s="30">
        <f>SUM(K29+K31+K33+55514)</f>
        <v>351219.25</v>
      </c>
      <c r="L36" s="30">
        <f>SUM(L29+L31+L33+51814)</f>
        <v>316456.304</v>
      </c>
      <c r="M36" s="30">
        <f>SUM(M29+M31+M33+51814)</f>
        <v>369964.75600000005</v>
      </c>
      <c r="N36" s="30">
        <f>SUM(N29+N31+N33+52744)</f>
        <v>390433.19400000002</v>
      </c>
      <c r="O36" s="30">
        <f>SUM(O29+O31+O33+51814)</f>
        <v>349153.82400000002</v>
      </c>
      <c r="P36" s="30">
        <f>SUM(P29+P31+P33+52294)</f>
        <v>388462</v>
      </c>
      <c r="Q36" s="21">
        <f t="shared" si="11"/>
        <v>352989.68733333331</v>
      </c>
      <c r="R36" s="28">
        <f>SUM(E36:P36)</f>
        <v>4235876.2479999997</v>
      </c>
    </row>
    <row r="37" spans="1:18">
      <c r="Q37" s="52" t="s">
        <v>57</v>
      </c>
      <c r="R37" s="53">
        <f>R35-R36</f>
        <v>269187.75200000033</v>
      </c>
    </row>
    <row r="38" spans="1:18">
      <c r="D38" t="s">
        <v>13</v>
      </c>
      <c r="M38" s="29"/>
      <c r="R38" s="29"/>
    </row>
    <row r="42" spans="1:18">
      <c r="D42" t="s">
        <v>13</v>
      </c>
    </row>
  </sheetData>
  <mergeCells count="33">
    <mergeCell ref="B12:B13"/>
    <mergeCell ref="A4:A15"/>
    <mergeCell ref="C1:P1"/>
    <mergeCell ref="B10:B11"/>
    <mergeCell ref="C35:D35"/>
    <mergeCell ref="C26:C27"/>
    <mergeCell ref="C24:C25"/>
    <mergeCell ref="C28:D28"/>
    <mergeCell ref="C29:D29"/>
    <mergeCell ref="B30:B31"/>
    <mergeCell ref="C30:D30"/>
    <mergeCell ref="C31:D31"/>
    <mergeCell ref="C14:D14"/>
    <mergeCell ref="C15:D15"/>
    <mergeCell ref="C12:D12"/>
    <mergeCell ref="C13:D13"/>
    <mergeCell ref="B28:B29"/>
    <mergeCell ref="C36:D36"/>
    <mergeCell ref="B35:B36"/>
    <mergeCell ref="E2:P2"/>
    <mergeCell ref="B4:B9"/>
    <mergeCell ref="A24:A33"/>
    <mergeCell ref="A16:A23"/>
    <mergeCell ref="C4:C5"/>
    <mergeCell ref="C8:C9"/>
    <mergeCell ref="C10:C11"/>
    <mergeCell ref="B16:P16"/>
    <mergeCell ref="B32:B33"/>
    <mergeCell ref="C32:D32"/>
    <mergeCell ref="C33:D33"/>
    <mergeCell ref="B24:B27"/>
    <mergeCell ref="C6:C7"/>
    <mergeCell ref="B14:B15"/>
  </mergeCells>
  <pageMargins left="0" right="0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2023-01-19T08:29:07Z</dcterms:modified>
</cp:coreProperties>
</file>