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5270" windowHeight="3870"/>
  </bookViews>
  <sheets>
    <sheet name="Лист1" sheetId="1" r:id="rId1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/>
  <c r="G20"/>
  <c r="G33"/>
  <c r="G38"/>
  <c r="G35"/>
  <c r="G18"/>
  <c r="G12"/>
  <c r="H33" l="1"/>
  <c r="H28"/>
  <c r="H20"/>
  <c r="G11" l="1"/>
  <c r="G17"/>
  <c r="G34"/>
  <c r="G25"/>
  <c r="D25"/>
  <c r="E25" s="1"/>
  <c r="G22"/>
  <c r="D17"/>
  <c r="F42"/>
  <c r="E42"/>
  <c r="H42" s="1"/>
  <c r="F41"/>
  <c r="E41"/>
  <c r="H41" s="1"/>
  <c r="E40"/>
  <c r="H40" s="1"/>
  <c r="E38"/>
  <c r="E37"/>
  <c r="E36"/>
  <c r="E35"/>
  <c r="D34"/>
  <c r="E34" s="1"/>
  <c r="F34" s="1"/>
  <c r="E32"/>
  <c r="H32" s="1"/>
  <c r="E31"/>
  <c r="H31" s="1"/>
  <c r="E30"/>
  <c r="H30" s="1"/>
  <c r="E29"/>
  <c r="H29" s="1"/>
  <c r="E27"/>
  <c r="H27" s="1"/>
  <c r="E26"/>
  <c r="H26" s="1"/>
  <c r="H25" s="1"/>
  <c r="E24"/>
  <c r="E23"/>
  <c r="D22"/>
  <c r="E22" s="1"/>
  <c r="F22" s="1"/>
  <c r="E21"/>
  <c r="H21" s="1"/>
  <c r="E19"/>
  <c r="H19" s="1"/>
  <c r="E18"/>
  <c r="H18" s="1"/>
  <c r="E17"/>
  <c r="E16"/>
  <c r="E15"/>
  <c r="E14"/>
  <c r="E13"/>
  <c r="E12"/>
  <c r="E11"/>
  <c r="D11"/>
  <c r="C8"/>
  <c r="F40" s="1"/>
  <c r="E7"/>
  <c r="D6"/>
  <c r="E6" s="1"/>
  <c r="B6"/>
  <c r="E5"/>
  <c r="E8" s="1"/>
  <c r="D5"/>
  <c r="F13" l="1"/>
  <c r="H13"/>
  <c r="F15"/>
  <c r="H15"/>
  <c r="F17"/>
  <c r="F23"/>
  <c r="H23"/>
  <c r="F35"/>
  <c r="H35"/>
  <c r="F37"/>
  <c r="H37"/>
  <c r="D8"/>
  <c r="F12"/>
  <c r="H12"/>
  <c r="F14"/>
  <c r="H14"/>
  <c r="F16"/>
  <c r="H16"/>
  <c r="H17"/>
  <c r="F24"/>
  <c r="H24"/>
  <c r="F36"/>
  <c r="H36"/>
  <c r="F38"/>
  <c r="H38"/>
  <c r="F25"/>
  <c r="G39"/>
  <c r="G43" s="1"/>
  <c r="E39"/>
  <c r="D43"/>
  <c r="F18"/>
  <c r="F19"/>
  <c r="F21"/>
  <c r="F26"/>
  <c r="F27"/>
  <c r="F29"/>
  <c r="F30"/>
  <c r="F31"/>
  <c r="F32"/>
  <c r="D39"/>
  <c r="E43"/>
  <c r="F11"/>
  <c r="F39" s="1"/>
  <c r="F43" s="1"/>
  <c r="H11" l="1"/>
  <c r="H34"/>
  <c r="H22"/>
  <c r="H39" l="1"/>
  <c r="H43" s="1"/>
</calcChain>
</file>

<file path=xl/sharedStrings.xml><?xml version="1.0" encoding="utf-8"?>
<sst xmlns="http://schemas.openxmlformats.org/spreadsheetml/2006/main" count="52" uniqueCount="52">
  <si>
    <t xml:space="preserve"> Утверждена решением общего собрания членов СНТ " Штиль" от ________________________</t>
  </si>
  <si>
    <t>ПЛАНОВАЯ СМЕТА ДОХОДОВ ТСН "Штиль" НА  2020 год</t>
  </si>
  <si>
    <t>Статьи доходов</t>
  </si>
  <si>
    <t>Тариф, руб./кв.м.</t>
  </si>
  <si>
    <t>Площадь помещений, кв.м</t>
  </si>
  <si>
    <t>Ежемесячная сумма дохода, руб.</t>
  </si>
  <si>
    <t>Годовая сумма дохода, руб.</t>
  </si>
  <si>
    <t>1. Оплата работ и услуг по содержанию и ремонту общего имущества 
в многоквартирном доме для собственников жилых помещений</t>
  </si>
  <si>
    <t>2. Оплата работ и услуг по содержанию и ремонту общего имущества 
в многоквартирном доме для собственников нежилых помещений</t>
  </si>
  <si>
    <t>3. Доходы от арендной платы (сдача в аренду помещения правления)</t>
  </si>
  <si>
    <t>ИТОГО ДОХОДОВ</t>
  </si>
  <si>
    <t>ПЛАНОВАЯ СМЕТА РАСХОДОВ НА  СОДЕРЖАНИЕ И РЕМОНТ ОБЩЕГО ИМУЩЕСТВА МКД ТСН " Штиль" В 2020 ГОДУ</t>
  </si>
  <si>
    <t>Статьи расходов (наименование работ, услуг)</t>
  </si>
  <si>
    <t>Ежемесячная сумма расходов, руб.</t>
  </si>
  <si>
    <t>Годовая сумма расходов, руб.</t>
  </si>
  <si>
    <t>ежемесячная сумма расходов на 1м2</t>
  </si>
  <si>
    <t>Управление многоквартирным домом</t>
  </si>
  <si>
    <t>Организация работ по содержанию и ремонту общего имущества. ФОТ с налогами и отпускными: бухгалтера, председателя, управляющего.</t>
  </si>
  <si>
    <t>Банковское обслуживание (ведение счета + комиссия за оплату с др.банков)</t>
  </si>
  <si>
    <t>Юридические услуги</t>
  </si>
  <si>
    <t>Организация работ по предоставлению информации в электронном виде. Передача отчетности, размещение информации в ГИС ЖКХ, ведение сайта, обслуживание бухгалтерской программы, ключ электронной подписи.</t>
  </si>
  <si>
    <t>Работы по содержанию общего имущества  МКД</t>
  </si>
  <si>
    <t>Уборка помещений, входящих в состав общего имущества. ФОТ уборщицы с налогами и отпускными. Моющие средства и инвентарь для уборки помещений.</t>
  </si>
  <si>
    <t>Дератизация, дезинсекция</t>
  </si>
  <si>
    <t>Материалы для ремонта МОП и Вспомогательные средства.</t>
  </si>
  <si>
    <t xml:space="preserve">Работы по содержанию земельного участка </t>
  </si>
  <si>
    <t>Очистка и благоустройство придомовой территории, в т.ч. ФОТ дворника, разнорабочего, инвентарь.</t>
  </si>
  <si>
    <t>Вывоз елок, мусора и снега, закуп песка, озеленение</t>
  </si>
  <si>
    <t>Техническое обслуживание</t>
  </si>
  <si>
    <t>Аварийное обслуживание дома, диспетчерская служба, дежурный слесарь.</t>
  </si>
  <si>
    <t>Обслуживание внутридомового газового оборудования 0.97 руб. м2</t>
  </si>
  <si>
    <t>Техническое обслуживание лифтов в том числе, освидетельствование лифтов</t>
  </si>
  <si>
    <t>Страхование лифтов</t>
  </si>
  <si>
    <t>Обслуживание общедомовых ПУ тепловой энергии. Поверка и приобретение манометров.</t>
  </si>
  <si>
    <t>Техническое обслуживание систем вентиляции.</t>
  </si>
  <si>
    <t>Техническое обслуживание систем водоснабжения (холодного и горячего), отопления, водоотведения, электрооборудования.</t>
  </si>
  <si>
    <t>Техническое обслуживание систем водоснабжения. ФОТ слесаря-сентехника с налогами и отпускными.</t>
  </si>
  <si>
    <t>Техническое обслуживание системы электроснабжения. ФОТ электрика.</t>
  </si>
  <si>
    <t>Материалы для водоснабжения, электрооборудования, водоотведения.</t>
  </si>
  <si>
    <t>Премиальный фонд</t>
  </si>
  <si>
    <t>Тариф общий</t>
  </si>
  <si>
    <t>ОДН эл/энергия + вода+ тепловые потери от стены дома до ПУ</t>
  </si>
  <si>
    <t>Проведение текущего ремонта общего имущества МКД</t>
  </si>
  <si>
    <t>Резервный фонд ТСН (для непредвиденных расходов)</t>
  </si>
  <si>
    <t xml:space="preserve">Всего общий тариф </t>
  </si>
  <si>
    <t>Площадь жилые + нежилые</t>
  </si>
  <si>
    <t>Фактическая сумма расходов за 2020г, руб.</t>
  </si>
  <si>
    <t>Изготовление проекта благоустройства  территории</t>
  </si>
  <si>
    <t>Обслуживание ворот и калиток</t>
  </si>
  <si>
    <t>Работы по обеспечению требований пожарной безопасности и охраны труда</t>
  </si>
  <si>
    <t>Перерасход/экономия, руб</t>
  </si>
  <si>
    <t>Обслуживание оргтехники, заправка катриджей, канцелярские товары, почтовые расходы, услуги связи, домофона, транспортные расходы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</si>
</sst>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b/>
      <sz val="8"/>
      <color indexed="8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Calibri"/>
      <family val="2"/>
      <charset val="204"/>
      <scheme val="minor"/>
    </font>
    <font>
      <b/>
      <i/>
      <sz val="8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164" fontId="1" fillId="2" borderId="2" xfId="0" applyNumberFormat="1" applyFont="1" applyFill="1" applyBorder="1" applyAlignment="1">
      <alignment wrapText="1"/>
    </xf>
    <xf numFmtId="164" fontId="1" fillId="2" borderId="2" xfId="0" applyNumberFormat="1" applyFont="1" applyFill="1" applyBorder="1" applyAlignment="1">
      <alignment horizontal="left" wrapText="1"/>
    </xf>
    <xf numFmtId="164" fontId="2" fillId="3" borderId="2" xfId="0" applyNumberFormat="1" applyFont="1" applyFill="1" applyBorder="1" applyAlignment="1">
      <alignment wrapText="1"/>
    </xf>
    <xf numFmtId="164" fontId="2" fillId="3" borderId="2" xfId="0" applyNumberFormat="1" applyFont="1" applyFill="1" applyBorder="1" applyAlignment="1">
      <alignment horizontal="left" wrapText="1"/>
    </xf>
    <xf numFmtId="0" fontId="3" fillId="0" borderId="0" xfId="0" applyFont="1"/>
    <xf numFmtId="164" fontId="2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/>
    <xf numFmtId="164" fontId="3" fillId="0" borderId="0" xfId="0" applyNumberFormat="1" applyFont="1"/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164" fontId="2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/>
    <xf numFmtId="164" fontId="1" fillId="0" borderId="2" xfId="0" applyNumberFormat="1" applyFont="1" applyBorder="1" applyAlignment="1">
      <alignment horizontal="center" wrapText="1"/>
    </xf>
    <xf numFmtId="2" fontId="1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164" fontId="2" fillId="0" borderId="2" xfId="0" applyNumberFormat="1" applyFont="1" applyBorder="1" applyAlignment="1">
      <alignment horizontal="center" wrapText="1"/>
    </xf>
    <xf numFmtId="2" fontId="2" fillId="0" borderId="2" xfId="0" applyNumberFormat="1" applyFont="1" applyBorder="1"/>
    <xf numFmtId="0" fontId="3" fillId="0" borderId="2" xfId="0" applyFont="1" applyFill="1" applyBorder="1"/>
    <xf numFmtId="164" fontId="1" fillId="0" borderId="2" xfId="0" applyNumberFormat="1" applyFont="1" applyFill="1" applyBorder="1" applyAlignment="1">
      <alignment horizontal="center" wrapText="1"/>
    </xf>
    <xf numFmtId="0" fontId="6" fillId="0" borderId="2" xfId="0" applyFont="1" applyBorder="1"/>
    <xf numFmtId="4" fontId="6" fillId="0" borderId="2" xfId="0" applyNumberFormat="1" applyFont="1" applyBorder="1"/>
    <xf numFmtId="164" fontId="2" fillId="0" borderId="2" xfId="0" applyNumberFormat="1" applyFont="1" applyFill="1" applyBorder="1" applyAlignment="1">
      <alignment horizontal="center" wrapText="1"/>
    </xf>
    <xf numFmtId="0" fontId="6" fillId="0" borderId="2" xfId="0" applyFont="1" applyFill="1" applyBorder="1"/>
    <xf numFmtId="0" fontId="6" fillId="0" borderId="8" xfId="0" applyFont="1" applyFill="1" applyBorder="1"/>
    <xf numFmtId="164" fontId="7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3" fillId="0" borderId="2" xfId="0" applyFont="1" applyBorder="1" applyAlignment="1">
      <alignment wrapText="1"/>
    </xf>
    <xf numFmtId="164" fontId="1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Alignment="1"/>
    <xf numFmtId="0" fontId="1" fillId="0" borderId="1" xfId="0" applyFont="1" applyFill="1" applyBorder="1" applyAlignment="1">
      <alignment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5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5" fillId="0" borderId="3" xfId="0" applyFont="1" applyBorder="1" applyAlignment="1">
      <alignment wrapText="1"/>
    </xf>
    <xf numFmtId="0" fontId="5" fillId="0" borderId="6" xfId="0" applyFont="1" applyBorder="1" applyAlignment="1">
      <alignment horizontal="justify" vertical="center" wrapText="1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horizontal="justify"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5"/>
  <sheetViews>
    <sheetView tabSelected="1" topLeftCell="A16" workbookViewId="0">
      <selection sqref="A1:H44"/>
    </sheetView>
  </sheetViews>
  <sheetFormatPr defaultRowHeight="15"/>
  <cols>
    <col min="1" max="1" width="52.7109375" customWidth="1"/>
    <col min="3" max="3" width="10" customWidth="1"/>
    <col min="4" max="4" width="11.42578125" customWidth="1"/>
    <col min="5" max="5" width="11.140625" customWidth="1"/>
    <col min="7" max="7" width="13.28515625" bestFit="1" customWidth="1"/>
    <col min="8" max="8" width="11.140625" customWidth="1"/>
  </cols>
  <sheetData>
    <row r="1" spans="1:8">
      <c r="A1" s="31" t="s">
        <v>0</v>
      </c>
      <c r="B1" s="32"/>
      <c r="C1" s="32"/>
      <c r="D1" s="32"/>
      <c r="E1" s="32"/>
      <c r="F1" s="33"/>
      <c r="G1" s="5"/>
      <c r="H1" s="5"/>
    </row>
    <row r="2" spans="1:8">
      <c r="A2" s="34"/>
      <c r="B2" s="32"/>
      <c r="C2" s="32"/>
      <c r="D2" s="32"/>
      <c r="E2" s="32"/>
      <c r="F2" s="33"/>
      <c r="G2" s="5"/>
      <c r="H2" s="5"/>
    </row>
    <row r="3" spans="1:8">
      <c r="A3" s="35" t="s">
        <v>1</v>
      </c>
      <c r="B3" s="35"/>
      <c r="C3" s="35"/>
      <c r="D3" s="35"/>
      <c r="E3" s="35"/>
      <c r="F3" s="33"/>
      <c r="G3" s="5"/>
      <c r="H3" s="5"/>
    </row>
    <row r="4" spans="1:8" ht="33.7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8"/>
      <c r="G4" s="5"/>
      <c r="H4" s="5"/>
    </row>
    <row r="5" spans="1:8" ht="23.25" customHeight="1">
      <c r="A5" s="1" t="s">
        <v>7</v>
      </c>
      <c r="B5" s="2">
        <v>18.09</v>
      </c>
      <c r="C5" s="2">
        <v>15284.4</v>
      </c>
      <c r="D5" s="2">
        <f>C5*B5</f>
        <v>276494.79599999997</v>
      </c>
      <c r="E5" s="2">
        <f>D5*12</f>
        <v>3317937.5519999997</v>
      </c>
      <c r="F5" s="8"/>
      <c r="G5" s="5"/>
      <c r="H5" s="5"/>
    </row>
    <row r="6" spans="1:8" ht="22.5" customHeight="1">
      <c r="A6" s="1" t="s">
        <v>8</v>
      </c>
      <c r="B6" s="2">
        <f>B5</f>
        <v>18.09</v>
      </c>
      <c r="C6" s="2">
        <v>1770</v>
      </c>
      <c r="D6" s="2">
        <f>B6*C6</f>
        <v>32019.3</v>
      </c>
      <c r="E6" s="2">
        <f>D6*12</f>
        <v>384231.6</v>
      </c>
      <c r="F6" s="8"/>
      <c r="G6" s="9"/>
      <c r="H6" s="5"/>
    </row>
    <row r="7" spans="1:8" ht="18" customHeight="1">
      <c r="A7" s="1" t="s">
        <v>9</v>
      </c>
      <c r="B7" s="2">
        <v>0</v>
      </c>
      <c r="C7" s="2"/>
      <c r="D7" s="2">
        <v>7000</v>
      </c>
      <c r="E7" s="2">
        <f>D7*12</f>
        <v>84000</v>
      </c>
      <c r="F7" s="8"/>
      <c r="G7" s="5"/>
      <c r="H7" s="5"/>
    </row>
    <row r="8" spans="1:8">
      <c r="A8" s="3" t="s">
        <v>10</v>
      </c>
      <c r="B8" s="4"/>
      <c r="C8" s="4">
        <f>SUM(C5:C7)</f>
        <v>17054.400000000001</v>
      </c>
      <c r="D8" s="4">
        <f>SUM(D5:D7)</f>
        <v>315514.09599999996</v>
      </c>
      <c r="E8" s="4">
        <f>SUM(E5:E7)</f>
        <v>3786169.1519999998</v>
      </c>
      <c r="F8" s="8"/>
      <c r="G8" s="5"/>
      <c r="H8" s="5"/>
    </row>
    <row r="9" spans="1:8">
      <c r="A9" s="36" t="s">
        <v>11</v>
      </c>
      <c r="B9" s="36"/>
      <c r="C9" s="36"/>
      <c r="D9" s="36"/>
      <c r="E9" s="36"/>
      <c r="F9" s="8"/>
      <c r="G9" s="5"/>
      <c r="H9" s="5"/>
    </row>
    <row r="10" spans="1:8" ht="45.75">
      <c r="A10" s="36" t="s">
        <v>12</v>
      </c>
      <c r="B10" s="36"/>
      <c r="C10" s="36"/>
      <c r="D10" s="10" t="s">
        <v>13</v>
      </c>
      <c r="E10" s="10" t="s">
        <v>14</v>
      </c>
      <c r="F10" s="11" t="s">
        <v>15</v>
      </c>
      <c r="G10" s="10" t="s">
        <v>46</v>
      </c>
      <c r="H10" s="7" t="s">
        <v>50</v>
      </c>
    </row>
    <row r="11" spans="1:8">
      <c r="A11" s="37" t="s">
        <v>16</v>
      </c>
      <c r="B11" s="38"/>
      <c r="C11" s="39"/>
      <c r="D11" s="12">
        <f>D12+D13+D14+D15+D16</f>
        <v>96566.5</v>
      </c>
      <c r="E11" s="12">
        <f>D11*12</f>
        <v>1158798</v>
      </c>
      <c r="F11" s="13">
        <f>E11/C8/12</f>
        <v>5.6622631109860206</v>
      </c>
      <c r="G11" s="12">
        <f>G12+G13+G14+G15+G16</f>
        <v>1274941.6100000001</v>
      </c>
      <c r="H11" s="12">
        <f>H12+H13+H14+H15+H16</f>
        <v>-116143.6100000001</v>
      </c>
    </row>
    <row r="12" spans="1:8" ht="34.5" customHeight="1">
      <c r="A12" s="40" t="s">
        <v>17</v>
      </c>
      <c r="B12" s="41"/>
      <c r="C12" s="42"/>
      <c r="D12" s="14">
        <v>81266.5</v>
      </c>
      <c r="E12" s="14">
        <f>D12*12</f>
        <v>975198</v>
      </c>
      <c r="F12" s="15">
        <f>E12/C8/12</f>
        <v>4.7651339243831501</v>
      </c>
      <c r="G12" s="16">
        <f>1068902.87-29946</f>
        <v>1038956.8700000001</v>
      </c>
      <c r="H12" s="17">
        <f>SUM(E12-G12)</f>
        <v>-63758.870000000112</v>
      </c>
    </row>
    <row r="13" spans="1:8" ht="15.75" customHeight="1">
      <c r="A13" s="43" t="s">
        <v>18</v>
      </c>
      <c r="B13" s="38"/>
      <c r="C13" s="39"/>
      <c r="D13" s="14">
        <v>3000</v>
      </c>
      <c r="E13" s="14">
        <f>D13*12</f>
        <v>36000</v>
      </c>
      <c r="F13" s="15">
        <f>E13/C8/12</f>
        <v>0.17590768364762169</v>
      </c>
      <c r="G13" s="16">
        <v>78977.539999999994</v>
      </c>
      <c r="H13" s="17">
        <f t="shared" ref="H13:H42" si="0">SUM(E13-G13)</f>
        <v>-42977.539999999994</v>
      </c>
    </row>
    <row r="14" spans="1:8">
      <c r="A14" s="44" t="s">
        <v>19</v>
      </c>
      <c r="B14" s="45"/>
      <c r="C14" s="46"/>
      <c r="D14" s="14">
        <v>4000</v>
      </c>
      <c r="E14" s="14">
        <f>D14*12</f>
        <v>48000</v>
      </c>
      <c r="F14" s="15">
        <f>E14/C8/12</f>
        <v>0.23454357819682894</v>
      </c>
      <c r="G14" s="16">
        <v>9935.26</v>
      </c>
      <c r="H14" s="17">
        <f t="shared" si="0"/>
        <v>38064.74</v>
      </c>
    </row>
    <row r="15" spans="1:8" ht="32.25" customHeight="1">
      <c r="A15" s="29" t="s">
        <v>20</v>
      </c>
      <c r="B15" s="30"/>
      <c r="C15" s="30"/>
      <c r="D15" s="14">
        <v>7000</v>
      </c>
      <c r="E15" s="14">
        <f t="shared" ref="E15:E42" si="1">D15*12</f>
        <v>84000</v>
      </c>
      <c r="F15" s="15">
        <f>E15/$C$8/12</f>
        <v>0.41045126184445069</v>
      </c>
      <c r="G15" s="16">
        <v>129752.7</v>
      </c>
      <c r="H15" s="17">
        <f t="shared" si="0"/>
        <v>-45752.7</v>
      </c>
    </row>
    <row r="16" spans="1:8" ht="24" customHeight="1">
      <c r="A16" s="29" t="s">
        <v>51</v>
      </c>
      <c r="B16" s="30"/>
      <c r="C16" s="30"/>
      <c r="D16" s="14">
        <v>1300</v>
      </c>
      <c r="E16" s="14">
        <f t="shared" si="1"/>
        <v>15600</v>
      </c>
      <c r="F16" s="15">
        <f>E16/$C$8/12</f>
        <v>7.6226662913969415E-2</v>
      </c>
      <c r="G16" s="16">
        <v>17319.240000000002</v>
      </c>
      <c r="H16" s="17">
        <f t="shared" si="0"/>
        <v>-1719.2400000000016</v>
      </c>
    </row>
    <row r="17" spans="1:8">
      <c r="A17" s="47" t="s">
        <v>21</v>
      </c>
      <c r="B17" s="30"/>
      <c r="C17" s="30"/>
      <c r="D17" s="18">
        <f>SUM(D18:D21)</f>
        <v>21547</v>
      </c>
      <c r="E17" s="18">
        <f t="shared" si="1"/>
        <v>258564</v>
      </c>
      <c r="F17" s="19">
        <f t="shared" ref="F17:F32" si="2">E17/$C$8/12</f>
        <v>1.2634276198517684</v>
      </c>
      <c r="G17" s="18">
        <f>SUM(G18:G21)</f>
        <v>306662.37</v>
      </c>
      <c r="H17" s="18">
        <f>SUM(H18:H21)</f>
        <v>-48098.37000000001</v>
      </c>
    </row>
    <row r="18" spans="1:8" ht="24.75" customHeight="1">
      <c r="A18" s="29" t="s">
        <v>22</v>
      </c>
      <c r="B18" s="30"/>
      <c r="C18" s="30"/>
      <c r="D18" s="14">
        <v>20547</v>
      </c>
      <c r="E18" s="14">
        <f t="shared" si="1"/>
        <v>246564</v>
      </c>
      <c r="F18" s="15">
        <f t="shared" si="2"/>
        <v>1.2047917253025611</v>
      </c>
      <c r="G18" s="16">
        <f>320959.17+127.5-25454.1</f>
        <v>295632.57</v>
      </c>
      <c r="H18" s="17">
        <f t="shared" si="0"/>
        <v>-49068.570000000007</v>
      </c>
    </row>
    <row r="19" spans="1:8">
      <c r="A19" s="51" t="s">
        <v>23</v>
      </c>
      <c r="B19" s="52"/>
      <c r="C19" s="52"/>
      <c r="D19" s="14">
        <v>500</v>
      </c>
      <c r="E19" s="14">
        <f t="shared" si="1"/>
        <v>6000</v>
      </c>
      <c r="F19" s="15">
        <f t="shared" si="2"/>
        <v>2.9317947274603618E-2</v>
      </c>
      <c r="G19" s="16">
        <v>8901.2999999999993</v>
      </c>
      <c r="H19" s="17">
        <f t="shared" si="0"/>
        <v>-2901.2999999999993</v>
      </c>
    </row>
    <row r="20" spans="1:8">
      <c r="A20" s="51" t="s">
        <v>47</v>
      </c>
      <c r="B20" s="52"/>
      <c r="C20" s="52"/>
      <c r="D20" s="14"/>
      <c r="E20" s="14"/>
      <c r="F20" s="15"/>
      <c r="G20" s="16">
        <f>11000-11000</f>
        <v>0</v>
      </c>
      <c r="H20" s="17">
        <f t="shared" si="0"/>
        <v>0</v>
      </c>
    </row>
    <row r="21" spans="1:8">
      <c r="A21" s="51" t="s">
        <v>24</v>
      </c>
      <c r="B21" s="52"/>
      <c r="C21" s="52"/>
      <c r="D21" s="14">
        <v>500</v>
      </c>
      <c r="E21" s="14">
        <f t="shared" si="1"/>
        <v>6000</v>
      </c>
      <c r="F21" s="15">
        <f t="shared" si="2"/>
        <v>2.9317947274603618E-2</v>
      </c>
      <c r="G21" s="16">
        <v>2128.5</v>
      </c>
      <c r="H21" s="17">
        <f t="shared" si="0"/>
        <v>3871.5</v>
      </c>
    </row>
    <row r="22" spans="1:8">
      <c r="A22" s="47" t="s">
        <v>25</v>
      </c>
      <c r="B22" s="30"/>
      <c r="C22" s="30"/>
      <c r="D22" s="18">
        <f>D23+D24</f>
        <v>21797</v>
      </c>
      <c r="E22" s="18">
        <f>D22*12</f>
        <v>261564</v>
      </c>
      <c r="F22" s="19">
        <f t="shared" si="2"/>
        <v>1.2780865934890702</v>
      </c>
      <c r="G22" s="18">
        <f>G23+G24</f>
        <v>395686.39999999997</v>
      </c>
      <c r="H22" s="18">
        <f>H23+H24</f>
        <v>-134122.39999999997</v>
      </c>
    </row>
    <row r="23" spans="1:8" ht="14.25" customHeight="1">
      <c r="A23" s="29" t="s">
        <v>26</v>
      </c>
      <c r="B23" s="30"/>
      <c r="C23" s="30"/>
      <c r="D23" s="14">
        <v>20797</v>
      </c>
      <c r="E23" s="14">
        <f t="shared" si="1"/>
        <v>249564</v>
      </c>
      <c r="F23" s="15">
        <f>E23/C8/12</f>
        <v>1.2194506989398628</v>
      </c>
      <c r="G23" s="20">
        <v>356974.72</v>
      </c>
      <c r="H23" s="17">
        <f t="shared" si="0"/>
        <v>-107410.71999999997</v>
      </c>
    </row>
    <row r="24" spans="1:8">
      <c r="A24" s="51" t="s">
        <v>27</v>
      </c>
      <c r="B24" s="52"/>
      <c r="C24" s="52"/>
      <c r="D24" s="21">
        <v>1000</v>
      </c>
      <c r="E24" s="21">
        <f t="shared" si="1"/>
        <v>12000</v>
      </c>
      <c r="F24" s="13">
        <f>E24/C8/12</f>
        <v>5.8635894549207236E-2</v>
      </c>
      <c r="G24" s="16">
        <v>38711.68</v>
      </c>
      <c r="H24" s="17">
        <f t="shared" si="0"/>
        <v>-26711.68</v>
      </c>
    </row>
    <row r="25" spans="1:8">
      <c r="A25" s="47" t="s">
        <v>28</v>
      </c>
      <c r="B25" s="30"/>
      <c r="C25" s="30"/>
      <c r="D25" s="18">
        <f>SUM(D26:D32)</f>
        <v>71025.87</v>
      </c>
      <c r="E25" s="18">
        <f t="shared" si="1"/>
        <v>852310.44</v>
      </c>
      <c r="F25" s="19">
        <f t="shared" si="2"/>
        <v>4.1646654235857019</v>
      </c>
      <c r="G25" s="18">
        <f>SUM(G26:G32)</f>
        <v>794526.77</v>
      </c>
      <c r="H25" s="18">
        <f>SUM(H26:H32)</f>
        <v>57783.670000000006</v>
      </c>
    </row>
    <row r="26" spans="1:8">
      <c r="A26" s="29" t="s">
        <v>29</v>
      </c>
      <c r="B26" s="30"/>
      <c r="C26" s="30"/>
      <c r="D26" s="21">
        <v>12000</v>
      </c>
      <c r="E26" s="14">
        <f t="shared" si="1"/>
        <v>144000</v>
      </c>
      <c r="F26" s="19">
        <f t="shared" si="2"/>
        <v>0.70363073459048675</v>
      </c>
      <c r="G26" s="16">
        <v>98851.51</v>
      </c>
      <c r="H26" s="17">
        <f t="shared" si="0"/>
        <v>45148.490000000005</v>
      </c>
    </row>
    <row r="27" spans="1:8">
      <c r="A27" s="29" t="s">
        <v>30</v>
      </c>
      <c r="B27" s="30"/>
      <c r="C27" s="30"/>
      <c r="D27" s="21">
        <v>14825.87</v>
      </c>
      <c r="E27" s="14">
        <f t="shared" si="1"/>
        <v>177910.44</v>
      </c>
      <c r="F27" s="19">
        <f t="shared" si="2"/>
        <v>0.86932814992025509</v>
      </c>
      <c r="G27" s="16">
        <v>188405.72</v>
      </c>
      <c r="H27" s="17">
        <f t="shared" si="0"/>
        <v>-10495.279999999999</v>
      </c>
    </row>
    <row r="28" spans="1:8">
      <c r="A28" s="29" t="s">
        <v>48</v>
      </c>
      <c r="B28" s="30"/>
      <c r="C28" s="30"/>
      <c r="D28" s="21"/>
      <c r="E28" s="14"/>
      <c r="F28" s="19"/>
      <c r="G28" s="16">
        <v>49046.400000000001</v>
      </c>
      <c r="H28" s="17">
        <f t="shared" si="0"/>
        <v>-49046.400000000001</v>
      </c>
    </row>
    <row r="29" spans="1:8">
      <c r="A29" s="51" t="s">
        <v>31</v>
      </c>
      <c r="B29" s="52"/>
      <c r="C29" s="52"/>
      <c r="D29" s="21">
        <v>28500</v>
      </c>
      <c r="E29" s="14">
        <f t="shared" si="1"/>
        <v>342000</v>
      </c>
      <c r="F29" s="19">
        <f t="shared" si="2"/>
        <v>1.6711229946524062</v>
      </c>
      <c r="G29" s="16">
        <v>323156</v>
      </c>
      <c r="H29" s="17">
        <f t="shared" si="0"/>
        <v>18844</v>
      </c>
    </row>
    <row r="30" spans="1:8">
      <c r="A30" s="29" t="s">
        <v>32</v>
      </c>
      <c r="B30" s="30"/>
      <c r="C30" s="30"/>
      <c r="D30" s="21">
        <v>200</v>
      </c>
      <c r="E30" s="14">
        <f t="shared" si="1"/>
        <v>2400</v>
      </c>
      <c r="F30" s="19">
        <f t="shared" si="2"/>
        <v>1.1727178909841448E-2</v>
      </c>
      <c r="G30" s="16"/>
      <c r="H30" s="17">
        <f t="shared" si="0"/>
        <v>2400</v>
      </c>
    </row>
    <row r="31" spans="1:8" ht="19.5" customHeight="1">
      <c r="A31" s="29" t="s">
        <v>33</v>
      </c>
      <c r="B31" s="30"/>
      <c r="C31" s="30"/>
      <c r="D31" s="21">
        <v>10000</v>
      </c>
      <c r="E31" s="14">
        <f t="shared" si="1"/>
        <v>120000</v>
      </c>
      <c r="F31" s="19">
        <f t="shared" si="2"/>
        <v>0.58635894549207235</v>
      </c>
      <c r="G31" s="16">
        <v>130212</v>
      </c>
      <c r="H31" s="17">
        <f t="shared" si="0"/>
        <v>-10212</v>
      </c>
    </row>
    <row r="32" spans="1:8">
      <c r="A32" s="51" t="s">
        <v>34</v>
      </c>
      <c r="B32" s="52"/>
      <c r="C32" s="52"/>
      <c r="D32" s="14">
        <v>5500</v>
      </c>
      <c r="E32" s="14">
        <f t="shared" si="1"/>
        <v>66000</v>
      </c>
      <c r="F32" s="19">
        <f t="shared" si="2"/>
        <v>0.3224974200206398</v>
      </c>
      <c r="G32" s="16">
        <v>4855.1400000000003</v>
      </c>
      <c r="H32" s="17">
        <f t="shared" si="0"/>
        <v>61144.86</v>
      </c>
    </row>
    <row r="33" spans="1:8" ht="18" customHeight="1">
      <c r="A33" s="48" t="s">
        <v>49</v>
      </c>
      <c r="B33" s="49"/>
      <c r="C33" s="50"/>
      <c r="D33" s="14"/>
      <c r="E33" s="14"/>
      <c r="F33" s="19"/>
      <c r="G33" s="22">
        <f>12750-12750</f>
        <v>0</v>
      </c>
      <c r="H33" s="23">
        <f t="shared" si="0"/>
        <v>0</v>
      </c>
    </row>
    <row r="34" spans="1:8" ht="32.25" customHeight="1">
      <c r="A34" s="47" t="s">
        <v>35</v>
      </c>
      <c r="B34" s="30"/>
      <c r="C34" s="30"/>
      <c r="D34" s="18">
        <f>D35+D36+D37+D38</f>
        <v>29615</v>
      </c>
      <c r="E34" s="18">
        <f t="shared" si="1"/>
        <v>355380</v>
      </c>
      <c r="F34" s="19">
        <f>E34/C8/12</f>
        <v>1.7365020170747725</v>
      </c>
      <c r="G34" s="18">
        <f>G35+G36+G37+G38</f>
        <v>432701.45</v>
      </c>
      <c r="H34" s="18">
        <f>H35+H36+H37+H38</f>
        <v>-77321.450000000012</v>
      </c>
    </row>
    <row r="35" spans="1:8" ht="29.25" customHeight="1">
      <c r="A35" s="29" t="s">
        <v>36</v>
      </c>
      <c r="B35" s="30"/>
      <c r="C35" s="30"/>
      <c r="D35" s="14">
        <v>14105</v>
      </c>
      <c r="E35" s="14">
        <f t="shared" si="1"/>
        <v>169260</v>
      </c>
      <c r="F35" s="15">
        <f t="shared" ref="F35:F42" si="3">E35/17026.3/12</f>
        <v>0.82842426128988678</v>
      </c>
      <c r="G35" s="16">
        <f>202324.86-8534.61</f>
        <v>193790.25</v>
      </c>
      <c r="H35" s="17">
        <f t="shared" si="0"/>
        <v>-24530.25</v>
      </c>
    </row>
    <row r="36" spans="1:8" ht="18" customHeight="1">
      <c r="A36" s="29" t="s">
        <v>37</v>
      </c>
      <c r="B36" s="30"/>
      <c r="C36" s="30"/>
      <c r="D36" s="21">
        <v>6510</v>
      </c>
      <c r="E36" s="21">
        <f t="shared" si="1"/>
        <v>78120</v>
      </c>
      <c r="F36" s="13">
        <f t="shared" si="3"/>
        <v>0.38234965905687085</v>
      </c>
      <c r="G36" s="16">
        <v>95078.55</v>
      </c>
      <c r="H36" s="17">
        <f t="shared" si="0"/>
        <v>-16958.550000000003</v>
      </c>
    </row>
    <row r="37" spans="1:8">
      <c r="A37" s="51" t="s">
        <v>38</v>
      </c>
      <c r="B37" s="52"/>
      <c r="C37" s="52"/>
      <c r="D37" s="14">
        <v>4000</v>
      </c>
      <c r="E37" s="14">
        <f t="shared" si="1"/>
        <v>48000</v>
      </c>
      <c r="F37" s="15">
        <f t="shared" si="3"/>
        <v>0.23493066608717103</v>
      </c>
      <c r="G37" s="16">
        <v>79897.94</v>
      </c>
      <c r="H37" s="17">
        <f t="shared" si="0"/>
        <v>-31897.940000000002</v>
      </c>
    </row>
    <row r="38" spans="1:8">
      <c r="A38" s="40" t="s">
        <v>39</v>
      </c>
      <c r="B38" s="41"/>
      <c r="C38" s="42"/>
      <c r="D38" s="14">
        <v>5000</v>
      </c>
      <c r="E38" s="14">
        <f t="shared" si="1"/>
        <v>60000</v>
      </c>
      <c r="F38" s="15">
        <f t="shared" si="3"/>
        <v>0.29366333260896377</v>
      </c>
      <c r="G38" s="16">
        <f>29946+25454.1+8534.61</f>
        <v>63934.71</v>
      </c>
      <c r="H38" s="17">
        <f t="shared" si="0"/>
        <v>-3934.7099999999991</v>
      </c>
    </row>
    <row r="39" spans="1:8">
      <c r="A39" s="48" t="s">
        <v>40</v>
      </c>
      <c r="B39" s="49"/>
      <c r="C39" s="50"/>
      <c r="D39" s="18">
        <f>D11+D17+D22+D25+D34</f>
        <v>240551.37</v>
      </c>
      <c r="E39" s="18">
        <f>E11+E17+E22+E25+E34</f>
        <v>2886616.44</v>
      </c>
      <c r="F39" s="19">
        <f>F11+F17+F22+F25+F34</f>
        <v>14.104944764987334</v>
      </c>
      <c r="G39" s="18">
        <f>G11+G17+G22+G25+G34+G33</f>
        <v>3204518.6</v>
      </c>
      <c r="H39" s="18">
        <f>H11+H17+H22+H25+H34+H33</f>
        <v>-317902.16000000003</v>
      </c>
    </row>
    <row r="40" spans="1:8">
      <c r="A40" s="47" t="s">
        <v>41</v>
      </c>
      <c r="B40" s="30"/>
      <c r="C40" s="30"/>
      <c r="D40" s="24">
        <v>51163.199999999997</v>
      </c>
      <c r="E40" s="21">
        <f t="shared" si="1"/>
        <v>613958.39999999991</v>
      </c>
      <c r="F40" s="13">
        <f>E40/C8/12</f>
        <v>2.9999999999999996</v>
      </c>
      <c r="G40" s="25">
        <v>817017.93</v>
      </c>
      <c r="H40" s="23">
        <f t="shared" si="0"/>
        <v>-203059.53000000014</v>
      </c>
    </row>
    <row r="41" spans="1:8">
      <c r="A41" s="47" t="s">
        <v>42</v>
      </c>
      <c r="B41" s="30"/>
      <c r="C41" s="30"/>
      <c r="D41" s="14">
        <v>11000</v>
      </c>
      <c r="E41" s="14">
        <f t="shared" si="1"/>
        <v>132000</v>
      </c>
      <c r="F41" s="15">
        <f t="shared" si="3"/>
        <v>0.64605933173972041</v>
      </c>
      <c r="G41" s="25">
        <v>361173.17</v>
      </c>
      <c r="H41" s="23">
        <f t="shared" si="0"/>
        <v>-229173.16999999998</v>
      </c>
    </row>
    <row r="42" spans="1:8">
      <c r="A42" s="54" t="s">
        <v>43</v>
      </c>
      <c r="B42" s="52"/>
      <c r="C42" s="52"/>
      <c r="D42" s="14">
        <v>5800</v>
      </c>
      <c r="E42" s="14">
        <f t="shared" si="1"/>
        <v>69600</v>
      </c>
      <c r="F42" s="15">
        <f t="shared" si="3"/>
        <v>0.34064946582639805</v>
      </c>
      <c r="G42" s="26">
        <f>12750+11000</f>
        <v>23750</v>
      </c>
      <c r="H42" s="23">
        <f t="shared" si="0"/>
        <v>45850</v>
      </c>
    </row>
    <row r="43" spans="1:8">
      <c r="A43" s="53" t="s">
        <v>44</v>
      </c>
      <c r="B43" s="53"/>
      <c r="C43" s="53"/>
      <c r="D43" s="6">
        <f>D11+D17+D22+D25+D34+D40+D41+D42</f>
        <v>308514.57</v>
      </c>
      <c r="E43" s="18">
        <f>E11+E17+E22+E25+E34+E40+E41+E42</f>
        <v>3702174.84</v>
      </c>
      <c r="F43" s="15">
        <f>F39+F40+F41+F42</f>
        <v>18.091653562553454</v>
      </c>
      <c r="G43" s="6">
        <f>SUM(G39+G40+G41+G42)</f>
        <v>4406459.7</v>
      </c>
      <c r="H43" s="6">
        <f>SUM(H39+H40+H41+H42)</f>
        <v>-704284.8600000001</v>
      </c>
    </row>
    <row r="44" spans="1:8">
      <c r="A44" s="27" t="s">
        <v>45</v>
      </c>
      <c r="B44" s="28">
        <v>15284.4</v>
      </c>
      <c r="C44" s="28">
        <v>1770</v>
      </c>
      <c r="D44" s="10"/>
      <c r="E44" s="14"/>
      <c r="F44" s="15"/>
      <c r="G44" s="5"/>
      <c r="H44" s="5"/>
    </row>
    <row r="45" spans="1:8">
      <c r="A45" s="53"/>
      <c r="B45" s="53"/>
      <c r="C45" s="53"/>
      <c r="D45" s="10"/>
      <c r="E45" s="10"/>
      <c r="F45" s="15"/>
      <c r="G45" s="5"/>
      <c r="H45" s="5"/>
    </row>
  </sheetData>
  <mergeCells count="38">
    <mergeCell ref="A45:C45"/>
    <mergeCell ref="A25:C25"/>
    <mergeCell ref="A40:C40"/>
    <mergeCell ref="A41:C41"/>
    <mergeCell ref="A42:C42"/>
    <mergeCell ref="A43:C43"/>
    <mergeCell ref="A36:C36"/>
    <mergeCell ref="A37:C37"/>
    <mergeCell ref="A38:C38"/>
    <mergeCell ref="A39:C39"/>
    <mergeCell ref="A26:C26"/>
    <mergeCell ref="A27:C27"/>
    <mergeCell ref="A29:C29"/>
    <mergeCell ref="A30:C30"/>
    <mergeCell ref="A31:C31"/>
    <mergeCell ref="A32:C32"/>
    <mergeCell ref="A28:C28"/>
    <mergeCell ref="A33:C33"/>
    <mergeCell ref="A34:C34"/>
    <mergeCell ref="A35:C35"/>
    <mergeCell ref="A19:C19"/>
    <mergeCell ref="A21:C21"/>
    <mergeCell ref="A22:C22"/>
    <mergeCell ref="A23:C23"/>
    <mergeCell ref="A24:C24"/>
    <mergeCell ref="A20:C20"/>
    <mergeCell ref="A18:C18"/>
    <mergeCell ref="A1:F2"/>
    <mergeCell ref="A3:F3"/>
    <mergeCell ref="A9:E9"/>
    <mergeCell ref="A10:C10"/>
    <mergeCell ref="A11:C11"/>
    <mergeCell ref="A12:C12"/>
    <mergeCell ref="A13:C13"/>
    <mergeCell ref="A14:C14"/>
    <mergeCell ref="A15:C15"/>
    <mergeCell ref="A16:C16"/>
    <mergeCell ref="A17:C17"/>
  </mergeCells>
  <pageMargins left="0.11811023622047245" right="0.11811023622047245" top="0.15748031496062992" bottom="0.19685039370078741" header="0.31496062992125984" footer="0.31496062992125984"/>
  <pageSetup paperSize="9" scale="8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Штиль</cp:lastModifiedBy>
  <cp:lastPrinted>2020-12-28T10:33:52Z</cp:lastPrinted>
  <dcterms:created xsi:type="dcterms:W3CDTF">2020-12-28T09:46:48Z</dcterms:created>
  <dcterms:modified xsi:type="dcterms:W3CDTF">2021-01-22T10:40:39Z</dcterms:modified>
</cp:coreProperties>
</file>